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 tabRatio="865" activeTab="13"/>
  </bookViews>
  <sheets>
    <sheet name="NL1" sheetId="1" r:id="rId1"/>
    <sheet name="NL2" sheetId="2" r:id="rId2"/>
    <sheet name="NL3" sheetId="3" r:id="rId3"/>
    <sheet name="NL4" sheetId="28" r:id="rId4"/>
    <sheet name="NL5" sheetId="29" r:id="rId5"/>
    <sheet name="NL6" sheetId="30" r:id="rId6"/>
    <sheet name="NL7" sheetId="31" r:id="rId7"/>
    <sheet name="NL10" sheetId="10" r:id="rId8"/>
    <sheet name="NL12" sheetId="33" r:id="rId9"/>
    <sheet name="NL13" sheetId="13" r:id="rId10"/>
    <sheet name="NL14" sheetId="32" r:id="rId11"/>
    <sheet name="NL15" sheetId="15" r:id="rId12"/>
    <sheet name="NL17" sheetId="34" r:id="rId13"/>
    <sheet name="NL23" sheetId="35" r:id="rId14"/>
    <sheet name="NL25" sheetId="36" r:id="rId15"/>
    <sheet name="NL30" sheetId="37" r:id="rId16"/>
    <sheet name="NL33" sheetId="38" r:id="rId17"/>
    <sheet name="NL40" sheetId="39" r:id="rId18"/>
  </sheets>
  <externalReferences>
    <externalReference r:id="rId19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B15" i="35" l="1"/>
  <c r="DA15" i="35"/>
  <c r="CZ15" i="35"/>
  <c r="CY15" i="35"/>
  <c r="BR39" i="33" l="1"/>
  <c r="BQ14" i="36" l="1"/>
  <c r="BQ13" i="36"/>
  <c r="BQ12" i="36"/>
  <c r="BQ11" i="36"/>
  <c r="BQ10" i="36"/>
  <c r="BQ8" i="36"/>
  <c r="BQ7" i="36"/>
  <c r="BQ6" i="36"/>
  <c r="BQ5" i="36"/>
  <c r="BZ13" i="36"/>
  <c r="BZ12" i="36"/>
  <c r="BZ11" i="36"/>
  <c r="BZ10" i="36"/>
  <c r="BZ8" i="36"/>
  <c r="BZ7" i="36"/>
  <c r="BZ6" i="36"/>
  <c r="BZ5" i="36"/>
  <c r="CA36" i="33"/>
  <c r="CA19" i="33"/>
  <c r="BA23" i="31"/>
  <c r="AZ23" i="31"/>
  <c r="CL14" i="36"/>
  <c r="CL13" i="36"/>
  <c r="CL12" i="36"/>
  <c r="CL11" i="36"/>
  <c r="CL10" i="36"/>
  <c r="CL9" i="36"/>
  <c r="CL8" i="36"/>
  <c r="CL7" i="36"/>
  <c r="CL6" i="36"/>
  <c r="CL5" i="36"/>
  <c r="O16" i="3"/>
  <c r="O8" i="3"/>
  <c r="O20" i="2"/>
  <c r="O15" i="2"/>
  <c r="AA17" i="1"/>
  <c r="AA18" i="1" s="1"/>
  <c r="AA8" i="1"/>
  <c r="Q10" i="1"/>
  <c r="Q6" i="1"/>
  <c r="AH18" i="1"/>
  <c r="AH17" i="1"/>
  <c r="AH11" i="1"/>
  <c r="AH10" i="1"/>
  <c r="AH9" i="1"/>
  <c r="AH8" i="1"/>
  <c r="AH7" i="1"/>
  <c r="AH5" i="1"/>
  <c r="AH4" i="1"/>
  <c r="B21" i="3"/>
  <c r="B18" i="3"/>
  <c r="B16" i="3"/>
  <c r="I12" i="39"/>
  <c r="H12" i="39"/>
  <c r="F12" i="36"/>
  <c r="F11" i="36"/>
  <c r="F10" i="36"/>
  <c r="F8" i="36"/>
  <c r="F7" i="36"/>
  <c r="F6" i="36"/>
  <c r="F5" i="36"/>
  <c r="I14" i="36"/>
  <c r="I13" i="36"/>
  <c r="I12" i="36"/>
  <c r="I11" i="36"/>
  <c r="I10" i="36"/>
  <c r="I9" i="36"/>
  <c r="I7" i="36"/>
  <c r="I6" i="36"/>
  <c r="I5" i="36"/>
  <c r="L11" i="36"/>
  <c r="L10" i="36"/>
  <c r="L8" i="36"/>
  <c r="L7" i="36"/>
  <c r="L6" i="36"/>
  <c r="L5" i="36"/>
  <c r="U14" i="36"/>
  <c r="U13" i="36"/>
  <c r="U12" i="36"/>
  <c r="U11" i="36"/>
  <c r="U10" i="36"/>
  <c r="U9" i="36"/>
  <c r="U8" i="36"/>
  <c r="U7" i="36"/>
  <c r="U6" i="36"/>
  <c r="U5" i="36"/>
  <c r="X13" i="36"/>
  <c r="X12" i="36"/>
  <c r="X11" i="36"/>
  <c r="X10" i="36"/>
  <c r="X8" i="36"/>
  <c r="X7" i="36"/>
  <c r="X6" i="36"/>
  <c r="X5" i="36"/>
  <c r="AJ14" i="36"/>
  <c r="AJ13" i="36"/>
  <c r="AJ12" i="36"/>
  <c r="AJ11" i="36"/>
  <c r="AJ10" i="36"/>
  <c r="AJ9" i="36"/>
  <c r="AJ8" i="36"/>
  <c r="AJ7" i="36"/>
  <c r="AJ6" i="36"/>
  <c r="AJ5" i="36"/>
  <c r="AV14" i="36"/>
  <c r="AV13" i="36"/>
  <c r="AV12" i="36"/>
  <c r="AV11" i="36"/>
  <c r="AV10" i="36"/>
  <c r="AV9" i="36"/>
  <c r="AV8" i="36"/>
  <c r="AV7" i="36"/>
  <c r="AV6" i="36"/>
  <c r="AV5" i="36"/>
  <c r="BB14" i="36"/>
  <c r="BB13" i="36"/>
  <c r="BB12" i="36"/>
  <c r="BB11" i="36"/>
  <c r="BB10" i="36"/>
  <c r="BB9" i="36"/>
  <c r="BB8" i="36"/>
  <c r="BB7" i="36"/>
  <c r="BB6" i="36"/>
  <c r="BB5" i="36"/>
  <c r="BE14" i="36"/>
  <c r="BE13" i="36"/>
  <c r="BE12" i="36"/>
  <c r="BE11" i="36"/>
  <c r="BE10" i="36"/>
  <c r="BE9" i="36"/>
  <c r="BE8" i="36"/>
  <c r="BE7" i="36"/>
  <c r="BE6" i="36"/>
  <c r="BE5" i="36"/>
  <c r="BH13" i="36"/>
  <c r="BH12" i="36"/>
  <c r="BH11" i="36"/>
  <c r="BH10" i="36"/>
  <c r="BH8" i="36"/>
  <c r="BH7" i="36"/>
  <c r="BH6" i="36"/>
  <c r="BH5" i="36"/>
  <c r="BN14" i="36"/>
  <c r="BN13" i="36"/>
  <c r="BN12" i="36"/>
  <c r="BN10" i="36"/>
  <c r="BN8" i="36"/>
  <c r="BN7" i="36"/>
  <c r="BN6" i="36"/>
  <c r="BN5" i="36"/>
  <c r="BM11" i="36"/>
  <c r="BO11" i="36"/>
  <c r="BN11" i="36" s="1"/>
  <c r="AY12" i="39"/>
  <c r="AX12" i="39"/>
  <c r="BW14" i="36"/>
  <c r="BW13" i="36"/>
  <c r="BW12" i="36"/>
  <c r="BW11" i="36"/>
  <c r="BW10" i="36"/>
  <c r="BW9" i="36"/>
  <c r="BW8" i="36"/>
  <c r="BW7" i="36"/>
  <c r="BW6" i="36"/>
  <c r="BW5" i="36"/>
  <c r="Z11" i="34"/>
  <c r="CF15" i="36"/>
  <c r="CF14" i="36"/>
  <c r="CF13" i="36"/>
  <c r="CF12" i="36"/>
  <c r="CF11" i="36"/>
  <c r="CF10" i="36"/>
  <c r="CF9" i="36"/>
  <c r="CF8" i="36"/>
  <c r="CF7" i="36"/>
  <c r="CF6" i="36"/>
  <c r="CF5" i="36"/>
  <c r="CI14" i="36"/>
  <c r="CI13" i="36"/>
  <c r="CI12" i="36"/>
  <c r="CI11" i="36"/>
  <c r="CI10" i="36"/>
  <c r="CI9" i="36"/>
  <c r="CI8" i="36"/>
  <c r="CI7" i="36"/>
  <c r="CI6" i="36"/>
  <c r="CI5" i="36"/>
  <c r="CO14" i="36"/>
  <c r="CO13" i="36"/>
  <c r="CO12" i="36"/>
  <c r="CO11" i="36"/>
  <c r="CO10" i="36"/>
  <c r="CO9" i="36"/>
  <c r="CO8" i="36"/>
  <c r="CO7" i="36"/>
  <c r="CO6" i="36"/>
  <c r="CO5" i="36"/>
  <c r="CF33" i="33"/>
  <c r="AV20" i="33"/>
  <c r="AU20" i="33"/>
  <c r="AH6" i="1" l="1"/>
  <c r="U20" i="33"/>
  <c r="T20" i="33"/>
  <c r="F19" i="33"/>
  <c r="CU8" i="36"/>
  <c r="CR14" i="36"/>
  <c r="CR13" i="36"/>
  <c r="CR12" i="36"/>
  <c r="CR11" i="36"/>
  <c r="CR10" i="36"/>
  <c r="CR9" i="36"/>
  <c r="CR8" i="36"/>
  <c r="CR7" i="36"/>
  <c r="CR6" i="36"/>
  <c r="CR5" i="36"/>
  <c r="CC14" i="36" l="1"/>
  <c r="CC13" i="36"/>
  <c r="CC12" i="36"/>
  <c r="CC11" i="36"/>
  <c r="CC10" i="36"/>
  <c r="CC9" i="36"/>
  <c r="CC8" i="36"/>
  <c r="CC7" i="36"/>
  <c r="CC6" i="36"/>
  <c r="CC5" i="36"/>
  <c r="BT14" i="36"/>
  <c r="BT13" i="36"/>
  <c r="BT12" i="36"/>
  <c r="BT11" i="36"/>
  <c r="BT10" i="36"/>
  <c r="BT7" i="36"/>
  <c r="BT5" i="36"/>
  <c r="BK15" i="36" l="1"/>
  <c r="BK14" i="36"/>
  <c r="BK13" i="36"/>
  <c r="BK12" i="36"/>
  <c r="BK11" i="36"/>
  <c r="BK10" i="36"/>
  <c r="BK8" i="36"/>
  <c r="BK7" i="36"/>
  <c r="BK6" i="36"/>
  <c r="BK5" i="36"/>
  <c r="AY14" i="36" l="1"/>
  <c r="AY13" i="36"/>
  <c r="AY12" i="36"/>
  <c r="AY11" i="36"/>
  <c r="AY10" i="36"/>
  <c r="AY9" i="36"/>
  <c r="AY8" i="36"/>
  <c r="AY7" i="36"/>
  <c r="AY6" i="36"/>
  <c r="AY5" i="36"/>
  <c r="AI12" i="39"/>
  <c r="AH12" i="39"/>
  <c r="AE11" i="39"/>
  <c r="AD11" i="39"/>
  <c r="AS14" i="36"/>
  <c r="AS13" i="36"/>
  <c r="AS12" i="36"/>
  <c r="AS11" i="36"/>
  <c r="AS10" i="36"/>
  <c r="AS9" i="36"/>
  <c r="AS8" i="36"/>
  <c r="AS7" i="36"/>
  <c r="AS6" i="36"/>
  <c r="AS5" i="36"/>
  <c r="E15" i="34"/>
  <c r="D15" i="34"/>
  <c r="C15" i="34"/>
  <c r="B15" i="34"/>
  <c r="I15" i="34"/>
  <c r="H15" i="34"/>
  <c r="M15" i="34"/>
  <c r="AH15" i="34"/>
  <c r="AG15" i="34"/>
  <c r="AF15" i="34"/>
  <c r="AE15" i="34"/>
  <c r="AD15" i="34"/>
  <c r="AC15" i="34"/>
  <c r="AB15" i="34"/>
  <c r="AA15" i="34"/>
  <c r="Z15" i="34"/>
  <c r="Y15" i="34"/>
  <c r="X15" i="34"/>
  <c r="W15" i="34"/>
  <c r="U15" i="34"/>
  <c r="T15" i="34"/>
  <c r="S15" i="34"/>
  <c r="R15" i="34"/>
  <c r="Q15" i="34"/>
  <c r="P15" i="34"/>
  <c r="AP20" i="33"/>
  <c r="AO20" i="33"/>
  <c r="O15" i="34"/>
  <c r="AP14" i="36"/>
  <c r="AP13" i="36"/>
  <c r="AP12" i="36"/>
  <c r="AP11" i="36"/>
  <c r="AP10" i="36"/>
  <c r="AP9" i="36"/>
  <c r="AP8" i="36"/>
  <c r="AP7" i="36"/>
  <c r="AP6" i="36"/>
  <c r="AP5" i="36"/>
  <c r="AM11" i="36"/>
  <c r="AM10" i="36"/>
  <c r="AM9" i="36"/>
  <c r="AM7" i="36"/>
  <c r="AM6" i="36"/>
  <c r="N15" i="34"/>
  <c r="K15" i="34"/>
  <c r="L15" i="34"/>
  <c r="AG31" i="33"/>
  <c r="AG23" i="33"/>
  <c r="AG13" i="33"/>
  <c r="AG6" i="33"/>
  <c r="AF31" i="33"/>
  <c r="AF23" i="33"/>
  <c r="AF13" i="33"/>
  <c r="AF6" i="33"/>
  <c r="R14" i="36"/>
  <c r="R13" i="36"/>
  <c r="R12" i="36"/>
  <c r="R11" i="36"/>
  <c r="R10" i="36"/>
  <c r="R9" i="36"/>
  <c r="R8" i="36"/>
  <c r="R7" i="36"/>
  <c r="R6" i="36"/>
  <c r="R5" i="36"/>
  <c r="G15" i="34"/>
  <c r="G11" i="34"/>
  <c r="O14" i="36"/>
  <c r="O13" i="36"/>
  <c r="O12" i="36"/>
  <c r="O11" i="36"/>
  <c r="O10" i="36"/>
  <c r="O9" i="36"/>
  <c r="O8" i="36"/>
  <c r="O7" i="36"/>
  <c r="O6" i="36"/>
  <c r="O5" i="36"/>
  <c r="F15" i="34"/>
  <c r="CU14" i="36" l="1"/>
  <c r="CU13" i="36"/>
  <c r="CU12" i="36"/>
  <c r="CU11" i="36"/>
  <c r="CU10" i="36"/>
  <c r="CU9" i="36"/>
  <c r="CU7" i="36"/>
  <c r="CU6" i="36"/>
  <c r="CU5" i="36"/>
  <c r="AI14" i="34"/>
  <c r="AI13" i="34"/>
  <c r="AI12" i="34"/>
  <c r="AI11" i="34"/>
  <c r="AI10" i="34"/>
  <c r="AI9" i="34"/>
  <c r="AI8" i="34"/>
  <c r="AI7" i="34"/>
  <c r="AI6" i="34"/>
  <c r="AI5" i="34"/>
  <c r="AI4" i="34"/>
  <c r="AI4" i="32" l="1"/>
  <c r="AH16" i="32"/>
  <c r="Y19" i="32"/>
  <c r="Y16" i="32"/>
  <c r="BQ26" i="31"/>
  <c r="AW23" i="31"/>
  <c r="AV23" i="31"/>
  <c r="AW57" i="30"/>
  <c r="AW56" i="30"/>
  <c r="AW55" i="30"/>
  <c r="AW71" i="30" s="1"/>
  <c r="AW54" i="30"/>
  <c r="AV57" i="30"/>
  <c r="AV73" i="30" s="1"/>
  <c r="AV56" i="30"/>
  <c r="AV72" i="30" s="1"/>
  <c r="AV55" i="30"/>
  <c r="AV71" i="30" s="1"/>
  <c r="AV54" i="30"/>
  <c r="AW25" i="30"/>
  <c r="AW73" i="30" s="1"/>
  <c r="AW24" i="30"/>
  <c r="AW72" i="30" s="1"/>
  <c r="AW22" i="30"/>
  <c r="AW70" i="30" s="1"/>
  <c r="AV25" i="30"/>
  <c r="AV24" i="30"/>
  <c r="AV22" i="30"/>
  <c r="AV54" i="29"/>
  <c r="AW43" i="29"/>
  <c r="AW42" i="29"/>
  <c r="AV43" i="29"/>
  <c r="AV42" i="29"/>
  <c r="AW19" i="29"/>
  <c r="AW55" i="29" s="1"/>
  <c r="AW18" i="29"/>
  <c r="AW54" i="29" s="1"/>
  <c r="AV19" i="29"/>
  <c r="AV55" i="29" s="1"/>
  <c r="AV18" i="29"/>
  <c r="AV50" i="28"/>
  <c r="AV49" i="28"/>
  <c r="AV48" i="28"/>
  <c r="AW22" i="28"/>
  <c r="AW64" i="28" s="1"/>
  <c r="AW21" i="28"/>
  <c r="AW63" i="28" s="1"/>
  <c r="AW20" i="28"/>
  <c r="AW62" i="28" s="1"/>
  <c r="AV22" i="28"/>
  <c r="AV64" i="28" s="1"/>
  <c r="AV21" i="28"/>
  <c r="AV63" i="28" s="1"/>
  <c r="AV20" i="28"/>
  <c r="AV62" i="28" s="1"/>
  <c r="AV70" i="30" l="1"/>
  <c r="AI9" i="3"/>
  <c r="AI7" i="3"/>
  <c r="AI5" i="3"/>
  <c r="Y26" i="3"/>
  <c r="Y23" i="3"/>
  <c r="Y27" i="3" s="1"/>
  <c r="Y12" i="3"/>
  <c r="Y8" i="3"/>
  <c r="AI16" i="1"/>
  <c r="AI9" i="1"/>
  <c r="AI4" i="1"/>
  <c r="AI7" i="1"/>
  <c r="Y21" i="2"/>
  <c r="W21" i="2"/>
  <c r="Y15" i="2"/>
  <c r="Y22" i="2" s="1"/>
  <c r="Y17" i="1"/>
  <c r="Y6" i="1"/>
  <c r="Y8" i="1" s="1"/>
  <c r="Y18" i="1" s="1"/>
  <c r="AI18" i="32" l="1"/>
  <c r="AI17" i="32"/>
  <c r="AH19" i="32"/>
  <c r="AG16" i="32"/>
  <c r="AG19" i="32" s="1"/>
  <c r="AF16" i="32"/>
  <c r="AF19" i="32" s="1"/>
  <c r="AE16" i="32"/>
  <c r="AE19" i="32" s="1"/>
  <c r="AD16" i="32"/>
  <c r="AD19" i="32" s="1"/>
  <c r="AC16" i="32"/>
  <c r="AC19" i="32" s="1"/>
  <c r="AA16" i="32"/>
  <c r="AA19" i="32" s="1"/>
  <c r="Z16" i="32"/>
  <c r="Z19" i="32" s="1"/>
  <c r="X16" i="32"/>
  <c r="X19" i="32" s="1"/>
  <c r="W16" i="32"/>
  <c r="W19" i="32" s="1"/>
  <c r="T16" i="32"/>
  <c r="T19" i="32" s="1"/>
  <c r="S16" i="32"/>
  <c r="S19" i="32" s="1"/>
  <c r="R16" i="32"/>
  <c r="R19" i="32" s="1"/>
  <c r="Q16" i="32"/>
  <c r="Q19" i="32" s="1"/>
  <c r="P16" i="32"/>
  <c r="P19" i="32" s="1"/>
  <c r="O16" i="32"/>
  <c r="O19" i="32" s="1"/>
  <c r="N16" i="32"/>
  <c r="N19" i="32" s="1"/>
  <c r="M16" i="32"/>
  <c r="M19" i="32" s="1"/>
  <c r="L16" i="32"/>
  <c r="L19" i="32" s="1"/>
  <c r="K16" i="32"/>
  <c r="K19" i="32" s="1"/>
  <c r="J16" i="32"/>
  <c r="J19" i="32" s="1"/>
  <c r="I16" i="32"/>
  <c r="I19" i="32" s="1"/>
  <c r="H16" i="32"/>
  <c r="H19" i="32" s="1"/>
  <c r="G16" i="32"/>
  <c r="G19" i="32" s="1"/>
  <c r="F16" i="32"/>
  <c r="F19" i="32" s="1"/>
  <c r="D16" i="32"/>
  <c r="D19" i="32" s="1"/>
  <c r="C16" i="32"/>
  <c r="C19" i="32" s="1"/>
  <c r="B16" i="32"/>
  <c r="B19" i="32" s="1"/>
  <c r="AI15" i="32"/>
  <c r="AI14" i="32"/>
  <c r="AI13" i="32"/>
  <c r="AI12" i="32"/>
  <c r="AB11" i="32"/>
  <c r="AB16" i="32" s="1"/>
  <c r="AB19" i="32" s="1"/>
  <c r="V11" i="32"/>
  <c r="V16" i="32" s="1"/>
  <c r="V19" i="32" s="1"/>
  <c r="U11" i="32"/>
  <c r="AI11" i="32" s="1"/>
  <c r="AI10" i="32"/>
  <c r="AI9" i="32"/>
  <c r="AI8" i="32"/>
  <c r="AI7" i="32"/>
  <c r="AI6" i="32"/>
  <c r="U5" i="32"/>
  <c r="U16" i="32" s="1"/>
  <c r="U19" i="32" s="1"/>
  <c r="E5" i="32"/>
  <c r="E16" i="32" s="1"/>
  <c r="E19" i="32" s="1"/>
  <c r="AI19" i="32" l="1"/>
  <c r="AI5" i="32"/>
  <c r="AI16" i="32" s="1"/>
  <c r="BP26" i="31" l="1"/>
  <c r="BQ25" i="31"/>
  <c r="BP25" i="31"/>
  <c r="BQ24" i="31"/>
  <c r="BP24" i="31"/>
  <c r="BM23" i="31"/>
  <c r="BL23" i="31"/>
  <c r="BK23" i="31"/>
  <c r="BJ23" i="31"/>
  <c r="BI23" i="31"/>
  <c r="BH23" i="31"/>
  <c r="BG23" i="31"/>
  <c r="BF23" i="31"/>
  <c r="BE23" i="31"/>
  <c r="BD23" i="31"/>
  <c r="BC23" i="31"/>
  <c r="BB23" i="31"/>
  <c r="AY23" i="31"/>
  <c r="AX23" i="31"/>
  <c r="AU23" i="31"/>
  <c r="AT23" i="31"/>
  <c r="AS23" i="31"/>
  <c r="AR23" i="31"/>
  <c r="AQ23" i="31"/>
  <c r="AP23" i="31"/>
  <c r="AO23" i="31"/>
  <c r="AN23" i="31"/>
  <c r="AM23" i="31"/>
  <c r="AL23" i="31"/>
  <c r="AK23" i="31"/>
  <c r="AJ23" i="31"/>
  <c r="BP22" i="31" s="1"/>
  <c r="AI23" i="31"/>
  <c r="AH23" i="31"/>
  <c r="AG23" i="31"/>
  <c r="AF23" i="31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C23" i="31"/>
  <c r="B23" i="31"/>
  <c r="BP23" i="31" s="1"/>
  <c r="BQ22" i="31"/>
  <c r="BQ21" i="31"/>
  <c r="BP21" i="31"/>
  <c r="BQ20" i="31"/>
  <c r="BP20" i="31"/>
  <c r="BQ19" i="31"/>
  <c r="BP19" i="31"/>
  <c r="BQ18" i="31"/>
  <c r="BP18" i="31"/>
  <c r="BQ17" i="31"/>
  <c r="BP17" i="31"/>
  <c r="BQ16" i="31"/>
  <c r="BP16" i="31"/>
  <c r="BQ15" i="31"/>
  <c r="BP15" i="31"/>
  <c r="BQ14" i="31"/>
  <c r="BP14" i="31"/>
  <c r="BQ13" i="31"/>
  <c r="BQ12" i="31"/>
  <c r="BP12" i="31"/>
  <c r="BQ11" i="31"/>
  <c r="BP11" i="31"/>
  <c r="BQ10" i="31"/>
  <c r="BP10" i="31"/>
  <c r="BQ9" i="31"/>
  <c r="BP9" i="31"/>
  <c r="BQ8" i="31"/>
  <c r="BP8" i="31"/>
  <c r="BQ7" i="31"/>
  <c r="BP7" i="31"/>
  <c r="BQ6" i="31"/>
  <c r="BP6" i="31"/>
  <c r="BQ5" i="31"/>
  <c r="BP5" i="31"/>
  <c r="BQ23" i="31" l="1"/>
  <c r="Z11" i="1"/>
  <c r="Z17" i="1" s="1"/>
  <c r="Z10" i="1"/>
  <c r="Z9" i="1"/>
  <c r="Z7" i="1"/>
  <c r="Z6" i="1"/>
  <c r="Z5" i="1"/>
  <c r="Z4" i="1"/>
  <c r="Z8" i="1" l="1"/>
  <c r="Z18" i="1" s="1"/>
  <c r="Z21" i="2"/>
  <c r="Z20" i="2"/>
  <c r="Z27" i="2" s="1"/>
  <c r="Z14" i="2"/>
  <c r="Z15" i="2" s="1"/>
  <c r="Z26" i="3"/>
  <c r="Z23" i="3"/>
  <c r="Z8" i="3"/>
  <c r="Z12" i="3" s="1"/>
  <c r="Z16" i="10"/>
  <c r="Z16" i="15"/>
  <c r="Z27" i="3" l="1"/>
  <c r="Z22" i="2"/>
  <c r="BP9" i="30"/>
  <c r="BP8" i="30"/>
  <c r="BP7" i="30"/>
  <c r="BP6" i="30"/>
  <c r="BO73" i="30"/>
  <c r="BO71" i="30"/>
  <c r="BN71" i="30"/>
  <c r="BO25" i="30"/>
  <c r="BO24" i="30"/>
  <c r="BO22" i="30"/>
  <c r="BO70" i="30" s="1"/>
  <c r="BN25" i="30"/>
  <c r="BN24" i="30"/>
  <c r="BN22" i="30"/>
  <c r="BN70" i="30" s="1"/>
  <c r="BN17" i="30"/>
  <c r="BN16" i="30"/>
  <c r="BO17" i="30"/>
  <c r="BO16" i="30"/>
  <c r="BO72" i="30" s="1"/>
  <c r="BM73" i="30"/>
  <c r="BM72" i="30"/>
  <c r="BM71" i="30"/>
  <c r="BM70" i="30"/>
  <c r="BL73" i="30"/>
  <c r="BL72" i="30"/>
  <c r="BL71" i="30"/>
  <c r="BL70" i="30"/>
  <c r="BK73" i="30"/>
  <c r="BK72" i="30"/>
  <c r="BK71" i="30"/>
  <c r="BK70" i="30"/>
  <c r="BJ73" i="30"/>
  <c r="BJ72" i="30"/>
  <c r="BJ71" i="30"/>
  <c r="BJ70" i="30"/>
  <c r="BG73" i="30"/>
  <c r="BG72" i="30"/>
  <c r="BG71" i="30"/>
  <c r="BG70" i="30"/>
  <c r="BF73" i="30"/>
  <c r="BF72" i="30"/>
  <c r="BF71" i="30"/>
  <c r="BF70" i="30"/>
  <c r="BD73" i="30"/>
  <c r="BD72" i="30"/>
  <c r="BD71" i="30"/>
  <c r="BD70" i="30"/>
  <c r="BE73" i="30"/>
  <c r="BE72" i="30"/>
  <c r="BE71" i="30"/>
  <c r="BE70" i="30"/>
  <c r="BC73" i="30"/>
  <c r="BC72" i="30"/>
  <c r="BC71" i="30"/>
  <c r="BC70" i="30"/>
  <c r="BB73" i="30"/>
  <c r="BB72" i="30"/>
  <c r="BB71" i="30"/>
  <c r="BB70" i="30"/>
  <c r="AY73" i="30"/>
  <c r="AY72" i="30"/>
  <c r="AY71" i="30"/>
  <c r="AY70" i="30"/>
  <c r="AX73" i="30"/>
  <c r="AX72" i="30"/>
  <c r="AX71" i="30"/>
  <c r="AX70" i="30"/>
  <c r="AF70" i="30"/>
  <c r="AG70" i="30"/>
  <c r="AF71" i="30"/>
  <c r="AG71" i="30"/>
  <c r="AF72" i="30"/>
  <c r="AG72" i="30"/>
  <c r="AF73" i="30"/>
  <c r="AG73" i="30"/>
  <c r="AU73" i="30"/>
  <c r="AU72" i="30"/>
  <c r="AU71" i="30"/>
  <c r="AU70" i="30"/>
  <c r="AT73" i="30"/>
  <c r="AT72" i="30"/>
  <c r="AT71" i="30"/>
  <c r="AT70" i="30"/>
  <c r="AS73" i="30"/>
  <c r="AS72" i="30"/>
  <c r="AS71" i="30"/>
  <c r="AS70" i="30"/>
  <c r="AR73" i="30"/>
  <c r="AR72" i="30"/>
  <c r="AR71" i="30"/>
  <c r="AR70" i="30"/>
  <c r="AQ73" i="30"/>
  <c r="AQ72" i="30"/>
  <c r="AQ71" i="30"/>
  <c r="AQ70" i="30"/>
  <c r="AP73" i="30"/>
  <c r="AP72" i="30"/>
  <c r="AP71" i="30"/>
  <c r="AP70" i="30"/>
  <c r="BN73" i="30" l="1"/>
  <c r="BN72" i="30"/>
  <c r="AO73" i="30"/>
  <c r="AO72" i="30"/>
  <c r="AO71" i="30"/>
  <c r="AO70" i="30"/>
  <c r="AN73" i="30"/>
  <c r="AN72" i="30"/>
  <c r="AN71" i="30"/>
  <c r="AN70" i="30"/>
  <c r="AM71" i="30"/>
  <c r="AL71" i="30"/>
  <c r="AM57" i="30"/>
  <c r="AM73" i="30" s="1"/>
  <c r="AM56" i="30"/>
  <c r="AM72" i="30" s="1"/>
  <c r="AM54" i="30"/>
  <c r="AM70" i="30" s="1"/>
  <c r="AL57" i="30"/>
  <c r="AL73" i="30" s="1"/>
  <c r="AL56" i="30"/>
  <c r="AL72" i="30" s="1"/>
  <c r="AL54" i="30"/>
  <c r="AL70" i="30" s="1"/>
  <c r="AK71" i="30"/>
  <c r="AJ71" i="30"/>
  <c r="AI73" i="30"/>
  <c r="AI72" i="30"/>
  <c r="AI71" i="30"/>
  <c r="AI70" i="30"/>
  <c r="AH73" i="30"/>
  <c r="AH72" i="30"/>
  <c r="AH71" i="30"/>
  <c r="AH70" i="30"/>
  <c r="AK25" i="30"/>
  <c r="AK73" i="30" s="1"/>
  <c r="AK24" i="30"/>
  <c r="AK72" i="30" s="1"/>
  <c r="AK22" i="30"/>
  <c r="AK70" i="30" s="1"/>
  <c r="AJ25" i="30"/>
  <c r="AJ73" i="30" s="1"/>
  <c r="AJ24" i="30"/>
  <c r="AJ72" i="30" s="1"/>
  <c r="AJ22" i="30"/>
  <c r="AJ70" i="30" s="1"/>
  <c r="AE73" i="30" l="1"/>
  <c r="AE72" i="30"/>
  <c r="AE71" i="30"/>
  <c r="AE70" i="30"/>
  <c r="AD73" i="30"/>
  <c r="AD72" i="30"/>
  <c r="AD71" i="30"/>
  <c r="AD70" i="30"/>
  <c r="AB71" i="30"/>
  <c r="AC57" i="30"/>
  <c r="AC56" i="30"/>
  <c r="AC54" i="30"/>
  <c r="AB57" i="30"/>
  <c r="AB56" i="30"/>
  <c r="AB54" i="30"/>
  <c r="AC25" i="30"/>
  <c r="AC73" i="30" s="1"/>
  <c r="AC24" i="30"/>
  <c r="AC22" i="30"/>
  <c r="AB25" i="30"/>
  <c r="AB24" i="30"/>
  <c r="AB22" i="30"/>
  <c r="AC17" i="30"/>
  <c r="AC16" i="30"/>
  <c r="AC15" i="30"/>
  <c r="AC71" i="30" s="1"/>
  <c r="AC14" i="30"/>
  <c r="AC70" i="30" s="1"/>
  <c r="AB17" i="30"/>
  <c r="AB16" i="30"/>
  <c r="AB14" i="30"/>
  <c r="AA73" i="30"/>
  <c r="AA72" i="30"/>
  <c r="AA71" i="30"/>
  <c r="AA70" i="30"/>
  <c r="Z73" i="30"/>
  <c r="Z72" i="30"/>
  <c r="Z71" i="30"/>
  <c r="Z70" i="30"/>
  <c r="Y71" i="30"/>
  <c r="Y70" i="30"/>
  <c r="X71" i="30"/>
  <c r="X70" i="30"/>
  <c r="Y25" i="30"/>
  <c r="Y73" i="30" s="1"/>
  <c r="Y24" i="30"/>
  <c r="Y72" i="30" s="1"/>
  <c r="Y22" i="30"/>
  <c r="X25" i="30"/>
  <c r="X73" i="30" s="1"/>
  <c r="X24" i="30"/>
  <c r="X72" i="30" s="1"/>
  <c r="X22" i="30"/>
  <c r="S72" i="30"/>
  <c r="S71" i="30"/>
  <c r="S70" i="30"/>
  <c r="R72" i="30"/>
  <c r="R71" i="30"/>
  <c r="R70" i="30"/>
  <c r="S81" i="30"/>
  <c r="S49" i="30"/>
  <c r="S41" i="30"/>
  <c r="Q73" i="30"/>
  <c r="Q72" i="30"/>
  <c r="Q71" i="30"/>
  <c r="Q70" i="30"/>
  <c r="P73" i="30"/>
  <c r="P72" i="30"/>
  <c r="P71" i="30"/>
  <c r="P70" i="30"/>
  <c r="R81" i="30"/>
  <c r="R73" i="30" s="1"/>
  <c r="R49" i="30"/>
  <c r="R41" i="30"/>
  <c r="O73" i="30"/>
  <c r="O72" i="30"/>
  <c r="O71" i="30"/>
  <c r="O70" i="30"/>
  <c r="N73" i="30"/>
  <c r="N72" i="30"/>
  <c r="N71" i="30"/>
  <c r="N70" i="30"/>
  <c r="M73" i="30"/>
  <c r="M72" i="30"/>
  <c r="M71" i="30"/>
  <c r="M70" i="30"/>
  <c r="L73" i="30"/>
  <c r="L72" i="30"/>
  <c r="L71" i="30"/>
  <c r="L70" i="30"/>
  <c r="K71" i="30"/>
  <c r="K73" i="30"/>
  <c r="K72" i="30"/>
  <c r="K70" i="30"/>
  <c r="J73" i="30"/>
  <c r="J72" i="30"/>
  <c r="J71" i="30"/>
  <c r="J70" i="30"/>
  <c r="AB72" i="30" l="1"/>
  <c r="AB73" i="30"/>
  <c r="S73" i="30"/>
  <c r="AB70" i="30"/>
  <c r="AC72" i="30"/>
  <c r="I73" i="30"/>
  <c r="I72" i="30"/>
  <c r="I71" i="30"/>
  <c r="I70" i="30"/>
  <c r="H73" i="30"/>
  <c r="H72" i="30"/>
  <c r="H71" i="30"/>
  <c r="H70" i="30"/>
  <c r="D70" i="30"/>
  <c r="E70" i="30"/>
  <c r="E73" i="30"/>
  <c r="E72" i="30"/>
  <c r="E71" i="30"/>
  <c r="D73" i="30"/>
  <c r="D72" i="30"/>
  <c r="D71" i="30"/>
  <c r="B71" i="30"/>
  <c r="B70" i="30"/>
  <c r="C71" i="30"/>
  <c r="C70" i="30"/>
  <c r="BQ79" i="30" l="1"/>
  <c r="BQ78" i="30"/>
  <c r="BP79" i="30"/>
  <c r="BP78" i="30"/>
  <c r="BQ65" i="30"/>
  <c r="BQ64" i="30"/>
  <c r="BQ63" i="30"/>
  <c r="BQ62" i="30"/>
  <c r="BP65" i="30"/>
  <c r="BP64" i="30"/>
  <c r="BP63" i="30"/>
  <c r="BP62" i="30"/>
  <c r="BQ57" i="30"/>
  <c r="BQ56" i="30"/>
  <c r="BQ55" i="30"/>
  <c r="BQ54" i="30"/>
  <c r="BP57" i="30"/>
  <c r="BP56" i="30"/>
  <c r="BP55" i="30"/>
  <c r="BP54" i="30"/>
  <c r="BQ49" i="30"/>
  <c r="BQ48" i="30"/>
  <c r="BQ47" i="30"/>
  <c r="BQ46" i="30"/>
  <c r="BP49" i="30"/>
  <c r="BP48" i="30"/>
  <c r="BP47" i="30"/>
  <c r="BP46" i="30"/>
  <c r="BQ41" i="30"/>
  <c r="BQ40" i="30"/>
  <c r="BQ39" i="30"/>
  <c r="BQ38" i="30"/>
  <c r="BP41" i="30"/>
  <c r="BP40" i="30"/>
  <c r="BP39" i="30"/>
  <c r="BP38" i="30"/>
  <c r="BQ31" i="30"/>
  <c r="BQ30" i="30"/>
  <c r="BP31" i="30"/>
  <c r="BP30" i="30"/>
  <c r="BQ23" i="30"/>
  <c r="BQ22" i="30"/>
  <c r="BP23" i="30"/>
  <c r="BP22" i="30"/>
  <c r="BQ17" i="30"/>
  <c r="BQ16" i="30"/>
  <c r="BQ15" i="30"/>
  <c r="BQ14" i="30"/>
  <c r="BP17" i="30"/>
  <c r="BP16" i="30"/>
  <c r="BP15" i="30"/>
  <c r="BP14" i="30"/>
  <c r="BQ9" i="30"/>
  <c r="BQ8" i="30"/>
  <c r="BQ7" i="30"/>
  <c r="BQ6" i="30"/>
  <c r="B81" i="30"/>
  <c r="C81" i="30"/>
  <c r="BP80" i="30"/>
  <c r="B33" i="30"/>
  <c r="BP33" i="30" s="1"/>
  <c r="C33" i="30"/>
  <c r="BQ33" i="30" s="1"/>
  <c r="C32" i="30"/>
  <c r="B32" i="30"/>
  <c r="B25" i="30"/>
  <c r="BP25" i="30" s="1"/>
  <c r="C25" i="30"/>
  <c r="BQ25" i="30" s="1"/>
  <c r="C24" i="30"/>
  <c r="BQ24" i="30" s="1"/>
  <c r="B24" i="30"/>
  <c r="BP24" i="30" s="1"/>
  <c r="C72" i="30" l="1"/>
  <c r="BQ81" i="30"/>
  <c r="C73" i="30"/>
  <c r="BP81" i="30"/>
  <c r="B73" i="30"/>
  <c r="BP32" i="30"/>
  <c r="B72" i="30"/>
  <c r="BQ32" i="30"/>
  <c r="BQ80" i="30"/>
  <c r="T70" i="30"/>
  <c r="U70" i="30"/>
  <c r="V70" i="30"/>
  <c r="W70" i="30"/>
  <c r="AZ70" i="30"/>
  <c r="BA70" i="30"/>
  <c r="BH70" i="30"/>
  <c r="BI70" i="30"/>
  <c r="T71" i="30"/>
  <c r="U71" i="30"/>
  <c r="V71" i="30"/>
  <c r="W71" i="30"/>
  <c r="AZ71" i="30"/>
  <c r="BA71" i="30"/>
  <c r="BH71" i="30"/>
  <c r="BI71" i="30"/>
  <c r="T72" i="30"/>
  <c r="U72" i="30"/>
  <c r="V72" i="30"/>
  <c r="W72" i="30"/>
  <c r="AZ72" i="30"/>
  <c r="BA72" i="30"/>
  <c r="BH72" i="30"/>
  <c r="BI72" i="30"/>
  <c r="T73" i="30"/>
  <c r="U73" i="30"/>
  <c r="V73" i="30"/>
  <c r="W73" i="30"/>
  <c r="AZ73" i="30"/>
  <c r="BA73" i="30"/>
  <c r="BH73" i="30"/>
  <c r="BI73" i="30"/>
  <c r="BQ72" i="30" l="1"/>
  <c r="BP72" i="30"/>
  <c r="BQ73" i="30"/>
  <c r="BP70" i="30"/>
  <c r="BQ71" i="30"/>
  <c r="BP71" i="30"/>
  <c r="BQ70" i="30"/>
  <c r="BP73" i="30"/>
  <c r="BQ61" i="29"/>
  <c r="BQ60" i="29"/>
  <c r="BP61" i="29"/>
  <c r="BP60" i="29"/>
  <c r="BO19" i="29"/>
  <c r="BO18" i="29"/>
  <c r="BN19" i="29"/>
  <c r="BN18" i="29"/>
  <c r="BN54" i="29" s="1"/>
  <c r="BO13" i="29"/>
  <c r="BO12" i="29"/>
  <c r="BN13" i="29"/>
  <c r="BG55" i="29"/>
  <c r="BG54" i="29"/>
  <c r="BF55" i="29"/>
  <c r="BF54" i="29"/>
  <c r="AR55" i="29"/>
  <c r="AS55" i="29"/>
  <c r="AQ55" i="29"/>
  <c r="AQ54" i="29"/>
  <c r="AP55" i="29"/>
  <c r="AP54" i="29"/>
  <c r="AM43" i="29"/>
  <c r="AM55" i="29" s="1"/>
  <c r="AM42" i="29"/>
  <c r="AL43" i="29"/>
  <c r="AL55" i="29" s="1"/>
  <c r="AL42" i="29"/>
  <c r="AK19" i="29"/>
  <c r="AK55" i="29" s="1"/>
  <c r="AK18" i="29"/>
  <c r="AJ19" i="29"/>
  <c r="AJ18" i="29"/>
  <c r="AC13" i="29"/>
  <c r="BQ13" i="29" s="1"/>
  <c r="AB13" i="29"/>
  <c r="BP13" i="29" s="1"/>
  <c r="AC19" i="29"/>
  <c r="AC55" i="29" s="1"/>
  <c r="AB19" i="29"/>
  <c r="AC43" i="29"/>
  <c r="BQ43" i="29" s="1"/>
  <c r="AB43" i="29"/>
  <c r="AC42" i="29"/>
  <c r="AB42" i="29"/>
  <c r="BP42" i="29" s="1"/>
  <c r="AC18" i="29"/>
  <c r="AB18" i="29"/>
  <c r="AC12" i="29"/>
  <c r="AC54" i="29" s="1"/>
  <c r="AB12" i="29"/>
  <c r="BP12" i="29" s="1"/>
  <c r="C55" i="29"/>
  <c r="E55" i="29"/>
  <c r="I55" i="29"/>
  <c r="K55" i="29"/>
  <c r="M55" i="29"/>
  <c r="O55" i="29"/>
  <c r="Q55" i="29"/>
  <c r="S55" i="29"/>
  <c r="U55" i="29"/>
  <c r="Y19" i="29"/>
  <c r="Y55" i="29" s="1"/>
  <c r="AA55" i="29"/>
  <c r="AE55" i="29"/>
  <c r="AG55" i="29"/>
  <c r="AI55" i="29"/>
  <c r="AO55" i="29"/>
  <c r="AU55" i="29"/>
  <c r="AY55" i="29"/>
  <c r="BA55" i="29"/>
  <c r="BC55" i="29"/>
  <c r="BE55" i="29"/>
  <c r="BI55" i="29"/>
  <c r="BK55" i="29"/>
  <c r="BM55" i="29"/>
  <c r="BO55" i="29"/>
  <c r="B55" i="29"/>
  <c r="D55" i="29"/>
  <c r="H55" i="29"/>
  <c r="J55" i="29"/>
  <c r="L55" i="29"/>
  <c r="N55" i="29"/>
  <c r="P55" i="29"/>
  <c r="R55" i="29"/>
  <c r="T55" i="29"/>
  <c r="X19" i="29"/>
  <c r="X55" i="29" s="1"/>
  <c r="Z55" i="29"/>
  <c r="AB55" i="29"/>
  <c r="AD55" i="29"/>
  <c r="AF55" i="29"/>
  <c r="AH55" i="29"/>
  <c r="AJ55" i="29"/>
  <c r="AN55" i="29"/>
  <c r="AT55" i="29"/>
  <c r="AX55" i="29"/>
  <c r="AZ55" i="29"/>
  <c r="BB55" i="29"/>
  <c r="BD55" i="29"/>
  <c r="BH55" i="29"/>
  <c r="BJ55" i="29"/>
  <c r="BL55" i="29"/>
  <c r="BN55" i="29"/>
  <c r="C54" i="29"/>
  <c r="E54" i="29"/>
  <c r="I54" i="29"/>
  <c r="K54" i="29"/>
  <c r="M54" i="29"/>
  <c r="O54" i="29"/>
  <c r="Q54" i="29"/>
  <c r="S54" i="29"/>
  <c r="U54" i="29"/>
  <c r="Y18" i="29"/>
  <c r="Y54" i="29" s="1"/>
  <c r="AA54" i="29"/>
  <c r="AE54" i="29"/>
  <c r="AG54" i="29"/>
  <c r="AI54" i="29"/>
  <c r="AK54" i="29"/>
  <c r="AM54" i="29"/>
  <c r="AO54" i="29"/>
  <c r="AS54" i="29"/>
  <c r="AU54" i="29"/>
  <c r="AY54" i="29"/>
  <c r="BA54" i="29"/>
  <c r="BC54" i="29"/>
  <c r="BE54" i="29"/>
  <c r="BI54" i="29"/>
  <c r="BK54" i="29"/>
  <c r="BM54" i="29"/>
  <c r="B54" i="29"/>
  <c r="D54" i="29"/>
  <c r="H54" i="29"/>
  <c r="J54" i="29"/>
  <c r="L54" i="29"/>
  <c r="N54" i="29"/>
  <c r="P54" i="29"/>
  <c r="R54" i="29"/>
  <c r="T54" i="29"/>
  <c r="X18" i="29"/>
  <c r="X54" i="29" s="1"/>
  <c r="Z54" i="29"/>
  <c r="AB54" i="29"/>
  <c r="AD54" i="29"/>
  <c r="AF54" i="29"/>
  <c r="AH54" i="29"/>
  <c r="AJ54" i="29"/>
  <c r="AL54" i="29"/>
  <c r="AN54" i="29"/>
  <c r="AR54" i="29"/>
  <c r="AT54" i="29"/>
  <c r="AX54" i="29"/>
  <c r="AZ54" i="29"/>
  <c r="BB54" i="29"/>
  <c r="BD54" i="29"/>
  <c r="BH54" i="29"/>
  <c r="BJ54" i="29"/>
  <c r="BL54" i="29"/>
  <c r="BQ49" i="29"/>
  <c r="BP49" i="29"/>
  <c r="BQ48" i="29"/>
  <c r="BP48" i="29"/>
  <c r="BQ37" i="29"/>
  <c r="BP37" i="29"/>
  <c r="BQ36" i="29"/>
  <c r="BP36" i="29"/>
  <c r="BQ31" i="29"/>
  <c r="BP31" i="29"/>
  <c r="BQ30" i="29"/>
  <c r="BP30" i="29"/>
  <c r="BQ25" i="29"/>
  <c r="BP25" i="29"/>
  <c r="BQ24" i="29"/>
  <c r="BP24" i="29"/>
  <c r="BP19" i="29"/>
  <c r="BQ7" i="29"/>
  <c r="BP7" i="29"/>
  <c r="BQ6" i="29"/>
  <c r="BP6" i="29"/>
  <c r="BQ71" i="28"/>
  <c r="BP71" i="28"/>
  <c r="AQ70" i="28"/>
  <c r="AP70" i="28"/>
  <c r="BP70" i="28" s="1"/>
  <c r="BQ69" i="28"/>
  <c r="BP69" i="28"/>
  <c r="C64" i="28"/>
  <c r="E64" i="28"/>
  <c r="I64" i="28"/>
  <c r="K64" i="28"/>
  <c r="M64" i="28"/>
  <c r="O64" i="28"/>
  <c r="Q64" i="28"/>
  <c r="S64" i="28"/>
  <c r="U64" i="28"/>
  <c r="W64" i="28"/>
  <c r="Y22" i="28"/>
  <c r="Y64" i="28" s="1"/>
  <c r="AA64" i="28"/>
  <c r="AC22" i="28"/>
  <c r="AC15" i="28"/>
  <c r="AC50" i="28"/>
  <c r="AG64" i="28"/>
  <c r="AI64" i="28"/>
  <c r="AK22" i="28"/>
  <c r="AK64" i="28" s="1"/>
  <c r="AM50" i="28"/>
  <c r="AM64" i="28" s="1"/>
  <c r="AO64" i="28"/>
  <c r="AQ15" i="28"/>
  <c r="AQ64" i="28" s="1"/>
  <c r="AS64" i="28"/>
  <c r="AU64" i="28"/>
  <c r="AY64" i="28"/>
  <c r="BA64" i="28"/>
  <c r="BC64" i="28"/>
  <c r="BE64" i="28"/>
  <c r="BG64" i="28"/>
  <c r="BK64" i="28"/>
  <c r="BM22" i="28"/>
  <c r="BM64" i="28" s="1"/>
  <c r="BO15" i="28"/>
  <c r="BO64" i="28" s="1"/>
  <c r="B64" i="28"/>
  <c r="D64" i="28"/>
  <c r="H64" i="28"/>
  <c r="J64" i="28"/>
  <c r="L64" i="28"/>
  <c r="N64" i="28"/>
  <c r="P64" i="28"/>
  <c r="R64" i="28"/>
  <c r="T64" i="28"/>
  <c r="V64" i="28"/>
  <c r="X22" i="28"/>
  <c r="X64" i="28" s="1"/>
  <c r="Z64" i="28"/>
  <c r="AB22" i="28"/>
  <c r="AB15" i="28"/>
  <c r="AB50" i="28"/>
  <c r="BP50" i="28" s="1"/>
  <c r="AD64" i="28"/>
  <c r="BQ57" i="28" s="1"/>
  <c r="AF64" i="28"/>
  <c r="AH64" i="28"/>
  <c r="AJ22" i="28"/>
  <c r="AJ64" i="28" s="1"/>
  <c r="AM49" i="28"/>
  <c r="AM63" i="28" s="1"/>
  <c r="AN64" i="28"/>
  <c r="AP15" i="28"/>
  <c r="AP64" i="28" s="1"/>
  <c r="AS63" i="28"/>
  <c r="AU63" i="28"/>
  <c r="AX64" i="28"/>
  <c r="AZ64" i="28"/>
  <c r="BB64" i="28"/>
  <c r="BD64" i="28"/>
  <c r="BF64" i="28"/>
  <c r="BJ64" i="28"/>
  <c r="BL64" i="28"/>
  <c r="BN22" i="28"/>
  <c r="BN15" i="28"/>
  <c r="AT64" i="28"/>
  <c r="AR64" i="28"/>
  <c r="AL50" i="28"/>
  <c r="AL64" i="28" s="1"/>
  <c r="AE64" i="28"/>
  <c r="C63" i="28"/>
  <c r="E63" i="28"/>
  <c r="I63" i="28"/>
  <c r="K63" i="28"/>
  <c r="M63" i="28"/>
  <c r="O63" i="28"/>
  <c r="Q63" i="28"/>
  <c r="S63" i="28"/>
  <c r="U63" i="28"/>
  <c r="W63" i="28"/>
  <c r="Y21" i="28"/>
  <c r="Y63" i="28"/>
  <c r="AA63" i="28"/>
  <c r="AC21" i="28"/>
  <c r="AC14" i="28"/>
  <c r="AC49" i="28"/>
  <c r="AC63" i="28" s="1"/>
  <c r="AG63" i="28"/>
  <c r="AI63" i="28"/>
  <c r="AK21" i="28"/>
  <c r="AK63" i="28" s="1"/>
  <c r="AO63" i="28"/>
  <c r="AQ14" i="28"/>
  <c r="AY63" i="28"/>
  <c r="BA63" i="28"/>
  <c r="BC63" i="28"/>
  <c r="BE63" i="28"/>
  <c r="BG63" i="28"/>
  <c r="BK63" i="28"/>
  <c r="BM21" i="28"/>
  <c r="BM63" i="28" s="1"/>
  <c r="BO14" i="28"/>
  <c r="BO63" i="28" s="1"/>
  <c r="B63" i="28"/>
  <c r="D63" i="28"/>
  <c r="H63" i="28"/>
  <c r="J63" i="28"/>
  <c r="L63" i="28"/>
  <c r="N63" i="28"/>
  <c r="P63" i="28"/>
  <c r="R63" i="28"/>
  <c r="T63" i="28"/>
  <c r="V63" i="28"/>
  <c r="X21" i="28"/>
  <c r="X63" i="28" s="1"/>
  <c r="Z63" i="28"/>
  <c r="AB21" i="28"/>
  <c r="AB14" i="28"/>
  <c r="AB49" i="28"/>
  <c r="AD63" i="28"/>
  <c r="BQ56" i="28" s="1"/>
  <c r="AF63" i="28"/>
  <c r="AH63" i="28"/>
  <c r="AJ21" i="28"/>
  <c r="AJ63" i="28"/>
  <c r="AL49" i="28"/>
  <c r="AL63" i="28" s="1"/>
  <c r="AN63" i="28"/>
  <c r="AP14" i="28"/>
  <c r="AS62" i="28"/>
  <c r="AU62" i="28"/>
  <c r="AX63" i="28"/>
  <c r="AZ63" i="28"/>
  <c r="BB63" i="28"/>
  <c r="BD63" i="28"/>
  <c r="BF63" i="28"/>
  <c r="BJ63" i="28"/>
  <c r="BL63" i="28"/>
  <c r="BN21" i="28"/>
  <c r="BN14" i="28"/>
  <c r="AT63" i="28"/>
  <c r="AR63" i="28"/>
  <c r="AE63" i="28"/>
  <c r="C62" i="28"/>
  <c r="E62" i="28"/>
  <c r="I62" i="28"/>
  <c r="K62" i="28"/>
  <c r="M62" i="28"/>
  <c r="O62" i="28"/>
  <c r="Q62" i="28"/>
  <c r="S62" i="28"/>
  <c r="U62" i="28"/>
  <c r="W62" i="28"/>
  <c r="Y20" i="28"/>
  <c r="Y62" i="28" s="1"/>
  <c r="AA62" i="28"/>
  <c r="AC20" i="28"/>
  <c r="AC13" i="28"/>
  <c r="AC48" i="28"/>
  <c r="AG62" i="28"/>
  <c r="AI62" i="28"/>
  <c r="AK20" i="28"/>
  <c r="AK62" i="28" s="1"/>
  <c r="AM48" i="28"/>
  <c r="AM62" i="28" s="1"/>
  <c r="AO62" i="28"/>
  <c r="AQ13" i="28"/>
  <c r="AQ62" i="28"/>
  <c r="AY62" i="28"/>
  <c r="BA62" i="28"/>
  <c r="BC62" i="28"/>
  <c r="BE62" i="28"/>
  <c r="BG62" i="28"/>
  <c r="BK62" i="28"/>
  <c r="BM20" i="28"/>
  <c r="BM62" i="28" s="1"/>
  <c r="BO13" i="28"/>
  <c r="BO62" i="28" s="1"/>
  <c r="B62" i="28"/>
  <c r="D62" i="28"/>
  <c r="H62" i="28"/>
  <c r="J62" i="28"/>
  <c r="L62" i="28"/>
  <c r="N62" i="28"/>
  <c r="P62" i="28"/>
  <c r="R62" i="28"/>
  <c r="T62" i="28"/>
  <c r="V62" i="28"/>
  <c r="X20" i="28"/>
  <c r="X62" i="28" s="1"/>
  <c r="Z62" i="28"/>
  <c r="AB20" i="28"/>
  <c r="AB62" i="28" s="1"/>
  <c r="AB13" i="28"/>
  <c r="AB48" i="28"/>
  <c r="AD62" i="28"/>
  <c r="AF62" i="28"/>
  <c r="AH62" i="28"/>
  <c r="AJ20" i="28"/>
  <c r="AJ62" i="28" s="1"/>
  <c r="AL48" i="28"/>
  <c r="AL62" i="28" s="1"/>
  <c r="AN62" i="28"/>
  <c r="AP62" i="28"/>
  <c r="AR62" i="28"/>
  <c r="AT62" i="28"/>
  <c r="AX62" i="28"/>
  <c r="AZ62" i="28"/>
  <c r="BB62" i="28"/>
  <c r="BD62" i="28"/>
  <c r="BF62" i="28"/>
  <c r="BJ62" i="28"/>
  <c r="BL62" i="28"/>
  <c r="BN20" i="28"/>
  <c r="BN13" i="28"/>
  <c r="AE62" i="28"/>
  <c r="BP57" i="28"/>
  <c r="BP56" i="28"/>
  <c r="BQ55" i="28"/>
  <c r="BP55" i="28"/>
  <c r="BP49" i="28"/>
  <c r="BQ48" i="28"/>
  <c r="BP48" i="28"/>
  <c r="BQ43" i="28"/>
  <c r="BP43" i="28"/>
  <c r="BQ42" i="28"/>
  <c r="BP42" i="28"/>
  <c r="BQ41" i="28"/>
  <c r="BP41" i="28"/>
  <c r="BQ36" i="28"/>
  <c r="BP36" i="28"/>
  <c r="BQ35" i="28"/>
  <c r="BP35" i="28"/>
  <c r="BQ34" i="28"/>
  <c r="BP34" i="28"/>
  <c r="BQ29" i="28"/>
  <c r="BP29" i="28"/>
  <c r="BQ28" i="28"/>
  <c r="BP28" i="28"/>
  <c r="BQ27" i="28"/>
  <c r="BP27" i="28"/>
  <c r="BP22" i="28"/>
  <c r="BP20" i="28"/>
  <c r="BQ14" i="28"/>
  <c r="BP14" i="28"/>
  <c r="BP13" i="28"/>
  <c r="BQ8" i="28"/>
  <c r="BP8" i="28"/>
  <c r="BQ7" i="28"/>
  <c r="BP7" i="28"/>
  <c r="BQ6" i="28"/>
  <c r="BP6" i="28"/>
  <c r="AH16" i="15"/>
  <c r="N16" i="15"/>
  <c r="O16" i="15"/>
  <c r="P16" i="15"/>
  <c r="Q16" i="15"/>
  <c r="R16" i="15"/>
  <c r="L7" i="15"/>
  <c r="K16" i="15"/>
  <c r="J16" i="15"/>
  <c r="F4" i="15"/>
  <c r="C16" i="15"/>
  <c r="B9" i="15"/>
  <c r="AI9" i="15" s="1"/>
  <c r="B4" i="15"/>
  <c r="AG32" i="13"/>
  <c r="AG28" i="13"/>
  <c r="AG19" i="13"/>
  <c r="AG12" i="13"/>
  <c r="X32" i="13"/>
  <c r="X28" i="13"/>
  <c r="X19" i="13"/>
  <c r="X10" i="13"/>
  <c r="X12" i="13"/>
  <c r="V32" i="13"/>
  <c r="V28" i="13"/>
  <c r="V19" i="13"/>
  <c r="V12" i="13"/>
  <c r="W32" i="13"/>
  <c r="W28" i="13"/>
  <c r="W19" i="13"/>
  <c r="W12" i="13"/>
  <c r="D32" i="13"/>
  <c r="AI32" i="13" s="1"/>
  <c r="D19" i="13"/>
  <c r="D28" i="13"/>
  <c r="D12" i="13"/>
  <c r="B30" i="3"/>
  <c r="AI30" i="3" s="1"/>
  <c r="B29" i="3"/>
  <c r="B25" i="3"/>
  <c r="B24" i="3"/>
  <c r="B26" i="3" s="1"/>
  <c r="B22" i="3"/>
  <c r="B8" i="3"/>
  <c r="B5" i="3"/>
  <c r="AG14" i="10"/>
  <c r="AG16" i="10" s="1"/>
  <c r="AF16" i="10"/>
  <c r="W16" i="10"/>
  <c r="E6" i="10"/>
  <c r="E16" i="10" s="1"/>
  <c r="C16" i="10"/>
  <c r="B16" i="10"/>
  <c r="AB16" i="10"/>
  <c r="AC16" i="10"/>
  <c r="AD16" i="10"/>
  <c r="AE16" i="10"/>
  <c r="AH16" i="10"/>
  <c r="U16" i="10"/>
  <c r="V16" i="10"/>
  <c r="X16" i="10"/>
  <c r="Y16" i="10"/>
  <c r="AA16" i="10"/>
  <c r="O16" i="10"/>
  <c r="P16" i="10"/>
  <c r="Q16" i="10"/>
  <c r="R16" i="10"/>
  <c r="S16" i="10"/>
  <c r="T16" i="10"/>
  <c r="H16" i="10"/>
  <c r="I16" i="10"/>
  <c r="J16" i="10"/>
  <c r="K16" i="10"/>
  <c r="L16" i="10"/>
  <c r="M16" i="10"/>
  <c r="N16" i="10"/>
  <c r="G16" i="10"/>
  <c r="S16" i="3"/>
  <c r="AF16" i="3"/>
  <c r="AH16" i="3"/>
  <c r="AH8" i="3"/>
  <c r="AH12" i="3" s="1"/>
  <c r="AG8" i="3"/>
  <c r="AG12" i="3" s="1"/>
  <c r="AF8" i="3"/>
  <c r="AF12" i="3" s="1"/>
  <c r="AC16" i="3"/>
  <c r="AC8" i="3"/>
  <c r="AB16" i="3"/>
  <c r="AB8" i="3"/>
  <c r="AB12" i="3" s="1"/>
  <c r="X8" i="3"/>
  <c r="V16" i="3"/>
  <c r="U16" i="3"/>
  <c r="U8" i="3"/>
  <c r="U12" i="3" s="1"/>
  <c r="T16" i="3"/>
  <c r="S8" i="3"/>
  <c r="R16" i="3"/>
  <c r="Q16" i="3"/>
  <c r="Q8" i="3"/>
  <c r="N16" i="3"/>
  <c r="M8" i="3"/>
  <c r="M12" i="3" s="1"/>
  <c r="K16" i="3"/>
  <c r="J16" i="3"/>
  <c r="J8" i="3"/>
  <c r="I8" i="3"/>
  <c r="I12" i="3" s="1"/>
  <c r="H16" i="3"/>
  <c r="H8" i="3"/>
  <c r="G16" i="3"/>
  <c r="G8" i="3"/>
  <c r="G12" i="3" s="1"/>
  <c r="C16" i="3"/>
  <c r="C26" i="3"/>
  <c r="C23" i="3"/>
  <c r="C27" i="3" s="1"/>
  <c r="C12" i="3"/>
  <c r="D12" i="3"/>
  <c r="E12" i="3"/>
  <c r="F12" i="3"/>
  <c r="H12" i="3"/>
  <c r="J12" i="3"/>
  <c r="K12" i="3"/>
  <c r="L12" i="3"/>
  <c r="N12" i="3"/>
  <c r="O12" i="3"/>
  <c r="P12" i="3"/>
  <c r="Q12" i="3"/>
  <c r="R12" i="3"/>
  <c r="S12" i="3"/>
  <c r="T12" i="3"/>
  <c r="V12" i="3"/>
  <c r="W12" i="3"/>
  <c r="X12" i="3"/>
  <c r="AA12" i="3"/>
  <c r="AC12" i="3"/>
  <c r="AD12" i="3"/>
  <c r="AE12" i="3"/>
  <c r="D23" i="3"/>
  <c r="E23" i="3"/>
  <c r="E26" i="3"/>
  <c r="E27" i="3" s="1"/>
  <c r="F23" i="3"/>
  <c r="G23" i="3"/>
  <c r="G27" i="3" s="1"/>
  <c r="H23" i="3"/>
  <c r="I23" i="3"/>
  <c r="J23" i="3"/>
  <c r="K23" i="3"/>
  <c r="L23" i="3"/>
  <c r="M23" i="3"/>
  <c r="M27" i="3" s="1"/>
  <c r="N23" i="3"/>
  <c r="O23" i="3"/>
  <c r="O26" i="3"/>
  <c r="P23" i="3"/>
  <c r="Q23" i="3"/>
  <c r="R23" i="3"/>
  <c r="S23" i="3"/>
  <c r="T23" i="3"/>
  <c r="U23" i="3"/>
  <c r="V23" i="3"/>
  <c r="W23" i="3"/>
  <c r="X23" i="3"/>
  <c r="X27" i="3" s="1"/>
  <c r="AA26" i="3"/>
  <c r="AA27" i="3" s="1"/>
  <c r="AB23" i="3"/>
  <c r="AC23" i="3"/>
  <c r="AD23" i="3"/>
  <c r="AE23" i="3"/>
  <c r="AF23" i="3"/>
  <c r="AG23" i="3"/>
  <c r="AH23" i="3"/>
  <c r="D26" i="3"/>
  <c r="F26" i="3"/>
  <c r="G26" i="3"/>
  <c r="H26" i="3"/>
  <c r="I26" i="3"/>
  <c r="J26" i="3"/>
  <c r="K26" i="3"/>
  <c r="L26" i="3"/>
  <c r="L27" i="3" s="1"/>
  <c r="M26" i="3"/>
  <c r="N26" i="3"/>
  <c r="P26" i="3"/>
  <c r="Q26" i="3"/>
  <c r="Q27" i="3" s="1"/>
  <c r="R26" i="3"/>
  <c r="S26" i="3"/>
  <c r="T26" i="3"/>
  <c r="U26" i="3"/>
  <c r="U27" i="3" s="1"/>
  <c r="V26" i="3"/>
  <c r="W26" i="3"/>
  <c r="X26" i="3"/>
  <c r="AB26" i="3"/>
  <c r="AC26" i="3"/>
  <c r="AC27" i="3" s="1"/>
  <c r="AD26" i="3"/>
  <c r="AE26" i="3"/>
  <c r="AF26" i="3"/>
  <c r="AG26" i="3"/>
  <c r="AG27" i="3" s="1"/>
  <c r="AH26" i="3"/>
  <c r="S27" i="3"/>
  <c r="K27" i="3"/>
  <c r="F27" i="3"/>
  <c r="T27" i="3"/>
  <c r="H27" i="3"/>
  <c r="AH15" i="2"/>
  <c r="AH21" i="2"/>
  <c r="AH22" i="2"/>
  <c r="AI13" i="2"/>
  <c r="D14" i="2"/>
  <c r="D15" i="2"/>
  <c r="D21" i="2"/>
  <c r="D22" i="2" s="1"/>
  <c r="D27" i="2" s="1"/>
  <c r="F15" i="2"/>
  <c r="F20" i="2"/>
  <c r="F21" i="2" s="1"/>
  <c r="H15" i="2"/>
  <c r="H21" i="2"/>
  <c r="L15" i="2"/>
  <c r="L22" i="2" s="1"/>
  <c r="L27" i="2" s="1"/>
  <c r="L21" i="2"/>
  <c r="N15" i="2"/>
  <c r="N22" i="2" s="1"/>
  <c r="N27" i="2" s="1"/>
  <c r="V15" i="2"/>
  <c r="V21" i="2"/>
  <c r="V22" i="2" s="1"/>
  <c r="V27" i="2" s="1"/>
  <c r="AI26" i="2"/>
  <c r="AI24" i="2"/>
  <c r="AI19" i="2"/>
  <c r="AI17" i="2"/>
  <c r="E14" i="2"/>
  <c r="E15" i="2" s="1"/>
  <c r="P14" i="2"/>
  <c r="Q14" i="2"/>
  <c r="Q15" i="2" s="1"/>
  <c r="Q22" i="2" s="1"/>
  <c r="U14" i="2"/>
  <c r="AB14" i="2"/>
  <c r="AB15" i="2" s="1"/>
  <c r="AB22" i="2" s="1"/>
  <c r="AC14" i="2"/>
  <c r="AC15" i="2" s="1"/>
  <c r="AF14" i="2"/>
  <c r="AF15" i="2" s="1"/>
  <c r="AF22" i="2" s="1"/>
  <c r="AG14" i="2"/>
  <c r="AI10" i="2"/>
  <c r="AI9" i="2"/>
  <c r="AG15" i="2"/>
  <c r="AG21" i="2"/>
  <c r="AF21" i="2"/>
  <c r="AE15" i="2"/>
  <c r="AE22" i="2" s="1"/>
  <c r="AD15" i="2"/>
  <c r="AD21" i="2"/>
  <c r="AD22" i="2" s="1"/>
  <c r="AC21" i="2"/>
  <c r="X15" i="2"/>
  <c r="X20" i="2"/>
  <c r="X21" i="2" s="1"/>
  <c r="X22" i="2" s="1"/>
  <c r="W15" i="2"/>
  <c r="W22" i="2" s="1"/>
  <c r="U15" i="2"/>
  <c r="U20" i="2"/>
  <c r="U21" i="2"/>
  <c r="T15" i="2"/>
  <c r="T22" i="2" s="1"/>
  <c r="T21" i="2"/>
  <c r="S15" i="2"/>
  <c r="S21" i="2"/>
  <c r="R15" i="2"/>
  <c r="R22" i="2" s="1"/>
  <c r="R21" i="2"/>
  <c r="P15" i="2"/>
  <c r="P22" i="2" s="1"/>
  <c r="P21" i="2"/>
  <c r="M15" i="2"/>
  <c r="M21" i="2"/>
  <c r="K15" i="2"/>
  <c r="K21" i="2"/>
  <c r="J15" i="2"/>
  <c r="J21" i="2"/>
  <c r="J22" i="2"/>
  <c r="J20" i="2"/>
  <c r="I15" i="2"/>
  <c r="I21" i="2"/>
  <c r="I22" i="2"/>
  <c r="G15" i="2"/>
  <c r="G21" i="2"/>
  <c r="E20" i="2"/>
  <c r="E21" i="2" s="1"/>
  <c r="C21" i="2"/>
  <c r="C15" i="2"/>
  <c r="B21" i="2"/>
  <c r="B15" i="2"/>
  <c r="X7" i="1"/>
  <c r="X9" i="1"/>
  <c r="X10" i="1"/>
  <c r="X11" i="1"/>
  <c r="X4" i="1"/>
  <c r="X5" i="1"/>
  <c r="X6" i="1"/>
  <c r="AB4" i="1"/>
  <c r="AB8" i="1" s="1"/>
  <c r="AB5" i="1"/>
  <c r="AB7" i="1"/>
  <c r="AB9" i="1"/>
  <c r="AB10" i="1"/>
  <c r="AB11" i="1"/>
  <c r="AG17" i="1"/>
  <c r="AG6" i="1"/>
  <c r="AG8" i="1" s="1"/>
  <c r="AE17" i="1"/>
  <c r="AE8" i="1"/>
  <c r="AE18" i="1" s="1"/>
  <c r="AF17" i="1"/>
  <c r="AF18" i="1" s="1"/>
  <c r="AF8" i="1"/>
  <c r="AD8" i="1"/>
  <c r="AD18" i="1" s="1"/>
  <c r="AD17" i="1"/>
  <c r="AC17" i="1"/>
  <c r="AC6" i="1"/>
  <c r="AC8" i="1" s="1"/>
  <c r="AC18" i="1" s="1"/>
  <c r="W16" i="1"/>
  <c r="W11" i="1"/>
  <c r="W10" i="1"/>
  <c r="W9" i="1"/>
  <c r="W17" i="1"/>
  <c r="W7" i="1"/>
  <c r="W5" i="1"/>
  <c r="W4" i="1"/>
  <c r="W8" i="1"/>
  <c r="W18" i="1" s="1"/>
  <c r="V17" i="1"/>
  <c r="V8" i="1"/>
  <c r="U17" i="1"/>
  <c r="U8" i="1"/>
  <c r="U18" i="1" s="1"/>
  <c r="T12" i="1"/>
  <c r="AI12" i="1" s="1"/>
  <c r="T11" i="1"/>
  <c r="T10" i="1"/>
  <c r="T9" i="1"/>
  <c r="T17" i="1" s="1"/>
  <c r="T6" i="1"/>
  <c r="T5" i="1"/>
  <c r="T7" i="1"/>
  <c r="T4" i="1"/>
  <c r="S17" i="1"/>
  <c r="S8" i="1"/>
  <c r="S18" i="1"/>
  <c r="R17" i="1"/>
  <c r="R18" i="1" s="1"/>
  <c r="R8" i="1"/>
  <c r="Q11" i="1"/>
  <c r="Q17" i="1"/>
  <c r="Q9" i="1"/>
  <c r="Q7" i="1"/>
  <c r="Q5" i="1"/>
  <c r="Q4" i="1"/>
  <c r="P17" i="1"/>
  <c r="P6" i="1"/>
  <c r="P8" i="1" s="1"/>
  <c r="N17" i="1"/>
  <c r="N8" i="1"/>
  <c r="N18" i="1" s="1"/>
  <c r="M17" i="1"/>
  <c r="M8" i="1"/>
  <c r="M18" i="1" s="1"/>
  <c r="L6" i="1"/>
  <c r="L8" i="1" s="1"/>
  <c r="L17" i="1"/>
  <c r="K8" i="1"/>
  <c r="K18" i="1" s="1"/>
  <c r="K17" i="1"/>
  <c r="J17" i="1"/>
  <c r="J8" i="1"/>
  <c r="J18" i="1" s="1"/>
  <c r="I17" i="1"/>
  <c r="I8" i="1"/>
  <c r="H17" i="1"/>
  <c r="H6" i="1"/>
  <c r="H8" i="1" s="1"/>
  <c r="H18" i="1" s="1"/>
  <c r="G17" i="1"/>
  <c r="G6" i="1"/>
  <c r="G8" i="1"/>
  <c r="G18" i="1" s="1"/>
  <c r="F17" i="1"/>
  <c r="F6" i="1"/>
  <c r="F8" i="1"/>
  <c r="E17" i="1"/>
  <c r="E8" i="1"/>
  <c r="E18" i="1" s="1"/>
  <c r="D16" i="1"/>
  <c r="D17" i="1" s="1"/>
  <c r="D8" i="1"/>
  <c r="C8" i="1"/>
  <c r="C18" i="1" s="1"/>
  <c r="C17" i="1"/>
  <c r="B17" i="1"/>
  <c r="AI17" i="1" s="1"/>
  <c r="B8" i="1"/>
  <c r="AG16" i="15"/>
  <c r="AF16" i="15"/>
  <c r="AE16" i="15"/>
  <c r="AD16" i="15"/>
  <c r="AC16" i="15"/>
  <c r="AB16" i="15"/>
  <c r="Y16" i="15"/>
  <c r="X16" i="15"/>
  <c r="W16" i="15"/>
  <c r="V16" i="15"/>
  <c r="U16" i="15"/>
  <c r="T16" i="15"/>
  <c r="S16" i="15"/>
  <c r="M16" i="15"/>
  <c r="L16" i="15"/>
  <c r="I16" i="15"/>
  <c r="H16" i="15"/>
  <c r="G16" i="15"/>
  <c r="F16" i="15"/>
  <c r="E16" i="15"/>
  <c r="D16" i="15"/>
  <c r="F16" i="10"/>
  <c r="D16" i="10"/>
  <c r="AI15" i="15"/>
  <c r="AI14" i="15"/>
  <c r="AI13" i="15"/>
  <c r="AI12" i="15"/>
  <c r="AI11" i="15"/>
  <c r="AI10" i="15"/>
  <c r="AI8" i="15"/>
  <c r="AI7" i="15"/>
  <c r="AI6" i="15"/>
  <c r="AI5" i="15"/>
  <c r="AI4" i="15"/>
  <c r="AI31" i="13"/>
  <c r="AI30" i="13"/>
  <c r="AI27" i="13"/>
  <c r="AI26" i="13"/>
  <c r="AI25" i="13"/>
  <c r="AI24" i="13"/>
  <c r="AI23" i="13"/>
  <c r="AI22" i="13"/>
  <c r="AI21" i="13"/>
  <c r="AI19" i="13"/>
  <c r="AI18" i="13"/>
  <c r="AI17" i="13"/>
  <c r="AI16" i="13"/>
  <c r="AI15" i="13"/>
  <c r="AI14" i="13"/>
  <c r="AI12" i="13"/>
  <c r="AI11" i="13"/>
  <c r="AI9" i="13"/>
  <c r="AI8" i="13"/>
  <c r="AI7" i="13"/>
  <c r="AI6" i="13"/>
  <c r="AI5" i="13"/>
  <c r="AI29" i="3"/>
  <c r="AI28" i="3"/>
  <c r="AI25" i="3"/>
  <c r="AI24" i="3"/>
  <c r="AI21" i="3"/>
  <c r="AI19" i="3"/>
  <c r="AI18" i="3"/>
  <c r="AI17" i="3"/>
  <c r="AI15" i="3"/>
  <c r="AI14" i="3"/>
  <c r="AI11" i="3"/>
  <c r="AI10" i="3"/>
  <c r="AI6" i="3"/>
  <c r="AI25" i="2"/>
  <c r="AI23" i="2"/>
  <c r="AI18" i="2"/>
  <c r="AI12" i="2"/>
  <c r="AI11" i="2"/>
  <c r="AI7" i="2"/>
  <c r="AI6" i="2"/>
  <c r="AI5" i="2"/>
  <c r="AI15" i="1"/>
  <c r="AI14" i="1"/>
  <c r="AI13" i="1"/>
  <c r="AI11" i="1"/>
  <c r="AI10" i="13"/>
  <c r="AI13" i="10"/>
  <c r="AI15" i="10"/>
  <c r="AI14" i="10"/>
  <c r="AI12" i="10"/>
  <c r="AI11" i="10"/>
  <c r="AI10" i="10"/>
  <c r="AI9" i="10"/>
  <c r="AI8" i="10"/>
  <c r="AI7" i="10"/>
  <c r="AI5" i="10"/>
  <c r="AI4" i="10"/>
  <c r="AI16" i="3"/>
  <c r="AI8" i="3"/>
  <c r="AI12" i="3" l="1"/>
  <c r="BQ12" i="29"/>
  <c r="BQ42" i="29"/>
  <c r="BO54" i="29"/>
  <c r="AC64" i="28"/>
  <c r="BN63" i="28"/>
  <c r="BN64" i="28"/>
  <c r="B22" i="2"/>
  <c r="B18" i="1"/>
  <c r="V27" i="3"/>
  <c r="R27" i="3"/>
  <c r="D27" i="3"/>
  <c r="W27" i="3"/>
  <c r="O27" i="3"/>
  <c r="AH27" i="3"/>
  <c r="AD27" i="3"/>
  <c r="B12" i="3"/>
  <c r="B23" i="3"/>
  <c r="B27" i="3" s="1"/>
  <c r="I18" i="1"/>
  <c r="V18" i="1"/>
  <c r="AG18" i="1"/>
  <c r="C22" i="2"/>
  <c r="G22" i="2"/>
  <c r="K22" i="2"/>
  <c r="AG22" i="2"/>
  <c r="AI14" i="2"/>
  <c r="E22" i="2"/>
  <c r="P27" i="3"/>
  <c r="N27" i="3"/>
  <c r="J27" i="3"/>
  <c r="B16" i="15"/>
  <c r="AI16" i="15" s="1"/>
  <c r="BN62" i="28"/>
  <c r="BQ54" i="29"/>
  <c r="BQ55" i="29"/>
  <c r="BQ18" i="29"/>
  <c r="BQ19" i="29"/>
  <c r="P18" i="1"/>
  <c r="T8" i="1"/>
  <c r="T18" i="1" s="1"/>
  <c r="AF27" i="3"/>
  <c r="AB27" i="3"/>
  <c r="I27" i="3"/>
  <c r="AB64" i="28"/>
  <c r="BP64" i="28" s="1"/>
  <c r="AB17" i="1"/>
  <c r="AB18" i="1" s="1"/>
  <c r="X17" i="1"/>
  <c r="AE27" i="3"/>
  <c r="AI28" i="13"/>
  <c r="BP21" i="28"/>
  <c r="D18" i="1"/>
  <c r="F18" i="1"/>
  <c r="L18" i="1"/>
  <c r="Q8" i="1"/>
  <c r="Q18" i="1" s="1"/>
  <c r="X8" i="1"/>
  <c r="M22" i="2"/>
  <c r="S22" i="2"/>
  <c r="U22" i="2"/>
  <c r="AC22" i="2"/>
  <c r="H22" i="2"/>
  <c r="H27" i="2" s="1"/>
  <c r="BQ13" i="28"/>
  <c r="BP55" i="29"/>
  <c r="BP43" i="29"/>
  <c r="AI23" i="3"/>
  <c r="AI21" i="2"/>
  <c r="F22" i="2"/>
  <c r="F27" i="2" s="1"/>
  <c r="AI27" i="2" s="1"/>
  <c r="AI16" i="10"/>
  <c r="BP62" i="28"/>
  <c r="BQ64" i="28"/>
  <c r="BP54" i="29"/>
  <c r="AI20" i="2"/>
  <c r="AI6" i="10"/>
  <c r="AI10" i="1"/>
  <c r="AI22" i="3"/>
  <c r="AI26" i="3"/>
  <c r="BQ20" i="28"/>
  <c r="BQ22" i="28"/>
  <c r="BQ50" i="28"/>
  <c r="AB63" i="28"/>
  <c r="AQ63" i="28"/>
  <c r="BQ63" i="28" s="1"/>
  <c r="BP18" i="29"/>
  <c r="AI5" i="1"/>
  <c r="AI15" i="2"/>
  <c r="BP15" i="28"/>
  <c r="AC62" i="28"/>
  <c r="BQ62" i="28" s="1"/>
  <c r="AI6" i="1"/>
  <c r="BQ15" i="28"/>
  <c r="BQ21" i="28"/>
  <c r="BQ49" i="28"/>
  <c r="AP63" i="28"/>
  <c r="BQ70" i="28"/>
  <c r="BP63" i="28" l="1"/>
  <c r="AI27" i="3"/>
  <c r="AI18" i="1"/>
  <c r="AI8" i="1"/>
  <c r="AI22" i="2"/>
  <c r="X18" i="1"/>
  <c r="AI16" i="34"/>
  <c r="V15" i="34"/>
  <c r="AI15" i="34" s="1"/>
</calcChain>
</file>

<file path=xl/sharedStrings.xml><?xml version="1.0" encoding="utf-8"?>
<sst xmlns="http://schemas.openxmlformats.org/spreadsheetml/2006/main" count="4599" uniqueCount="331">
  <si>
    <t>Particulars</t>
  </si>
  <si>
    <t>Acko</t>
  </si>
  <si>
    <t>Aditya Birla</t>
  </si>
  <si>
    <t>AICL</t>
  </si>
  <si>
    <t>Apollo Munich</t>
  </si>
  <si>
    <t>Bajaj Allianz</t>
  </si>
  <si>
    <t>Bharti Axa</t>
  </si>
  <si>
    <t>Cholamandalam</t>
  </si>
  <si>
    <t>Cigna TTK</t>
  </si>
  <si>
    <t>DHFL</t>
  </si>
  <si>
    <t>Edelweiss</t>
  </si>
  <si>
    <t>ECGC</t>
  </si>
  <si>
    <t>Future Generali</t>
  </si>
  <si>
    <t>Go Digit</t>
  </si>
  <si>
    <t>HDFC Ergo</t>
  </si>
  <si>
    <t>ICICI Lombard</t>
  </si>
  <si>
    <t>Iffco Tokio</t>
  </si>
  <si>
    <t>Kotak</t>
  </si>
  <si>
    <t>Liberty</t>
  </si>
  <si>
    <t>Magma HDI</t>
  </si>
  <si>
    <t>Max Bupa</t>
  </si>
  <si>
    <t>National</t>
  </si>
  <si>
    <t>Raheja</t>
  </si>
  <si>
    <t>Reliance General</t>
  </si>
  <si>
    <t>Religare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</si>
  <si>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</si>
  <si>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</si>
  <si>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</si>
  <si>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</si>
  <si>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</si>
  <si>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</si>
  <si>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</si>
  <si>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Premiums earned (Net)</t>
  </si>
  <si>
    <t>Profit/ Loss on sale/redemption of Investments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</si>
  <si>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</si>
  <si>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</si>
  <si>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</si>
  <si>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</si>
  <si>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</si>
  <si>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Premium Deficiency</t>
  </si>
  <si>
    <t>TOTAL (B)</t>
  </si>
  <si>
    <t>Operating profit / (loss) (A-B)</t>
  </si>
  <si>
    <t>in Rs. '000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</si>
  <si>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</si>
  <si>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</si>
  <si>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</si>
  <si>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</si>
  <si>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</si>
  <si>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</si>
  <si>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</si>
  <si>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OTHER INCOME</t>
  </si>
  <si>
    <t>PROVISIONS (Other than taxation)</t>
  </si>
  <si>
    <t>(a) For diminution in the value of investments</t>
  </si>
  <si>
    <t>(b) For doubtful debts</t>
  </si>
  <si>
    <t>Provision for Taxation -</t>
  </si>
  <si>
    <t xml:space="preserve">              Current Tax</t>
  </si>
  <si>
    <t xml:space="preserve">              Deferred Tax</t>
  </si>
  <si>
    <t xml:space="preserve">              Adjustment of taxation for earlier years</t>
  </si>
  <si>
    <t>PROFIT / (LOSS) AFTER TAX</t>
  </si>
  <si>
    <t>SOURCES OF FUNDS</t>
  </si>
  <si>
    <t>TOTAL</t>
  </si>
  <si>
    <t>APPLICATION OF FUNDS</t>
  </si>
  <si>
    <t>Cash and Bank Balances</t>
  </si>
  <si>
    <t>Advances and Other Assets</t>
  </si>
  <si>
    <t>Sub-Total (A)</t>
  </si>
  <si>
    <t>Sub-Total (B)</t>
  </si>
  <si>
    <t>NET CURRENT ASSETS (C) = (A - B)</t>
  </si>
  <si>
    <t>Direct*</t>
  </si>
  <si>
    <t>Add - Reinsurance accepted</t>
  </si>
  <si>
    <t>Less - Commission on Reinsurance ceded</t>
  </si>
  <si>
    <t>NET COMMISSION</t>
  </si>
  <si>
    <t>Capital Reserve</t>
  </si>
  <si>
    <t>Capital Redemption Reserve</t>
  </si>
  <si>
    <t>General Reserves</t>
  </si>
  <si>
    <t>Catastrophe Reserve</t>
  </si>
  <si>
    <t>Balance of Profit in Profit &amp; Loss Account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</si>
  <si>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</si>
  <si>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</si>
  <si>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</si>
  <si>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</si>
  <si>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</si>
  <si>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</si>
  <si>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</si>
  <si>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</si>
  <si>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</si>
  <si>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</si>
  <si>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</si>
  <si>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</si>
  <si>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</si>
  <si>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</si>
  <si>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</si>
  <si>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</si>
  <si>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MATURITY-WISE CLASSIFICATION</t>
  </si>
  <si>
    <t>(a) Short Term</t>
  </si>
  <si>
    <t>(b) Long Term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</si>
  <si>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</si>
  <si>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</si>
  <si>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</si>
  <si>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</si>
  <si>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</si>
  <si>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</si>
  <si>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Money at Call and Short Notice</t>
  </si>
  <si>
    <t>(a) With Banks</t>
  </si>
  <si>
    <t>(b) With other Institutions</t>
  </si>
  <si>
    <t>FIRE</t>
  </si>
  <si>
    <t>ENGINEERING</t>
  </si>
  <si>
    <t>PERSONAL ACCIDENT</t>
  </si>
  <si>
    <t>Other Income</t>
  </si>
  <si>
    <t>Contribution to Solatium Fund</t>
  </si>
  <si>
    <t>New India</t>
  </si>
  <si>
    <t>Oriental</t>
  </si>
  <si>
    <t>Less: Loss on sale of investments</t>
  </si>
  <si>
    <t>PROFIT / (LOSS) BEFORE TAX (A-B)</t>
  </si>
  <si>
    <t>Share Capital</t>
  </si>
  <si>
    <t>Share Application Money Pending Allotment</t>
  </si>
  <si>
    <t>Reserves and Surplus</t>
  </si>
  <si>
    <t>Borrowings</t>
  </si>
  <si>
    <t>Investments- Shareholders Funds</t>
  </si>
  <si>
    <t>Investments- Policyholders Funds</t>
  </si>
  <si>
    <t>Loans</t>
  </si>
  <si>
    <t>Fixed Assets</t>
  </si>
  <si>
    <t>Deferred Tax Assets</t>
  </si>
  <si>
    <t>Current Assets</t>
  </si>
  <si>
    <t>Current Liabilities</t>
  </si>
  <si>
    <t>Provisions</t>
  </si>
  <si>
    <t>Miscellaneous Expenditure (to the extent not written off or adjusted)</t>
  </si>
  <si>
    <t>Total Investments</t>
  </si>
  <si>
    <t>Debit Balance in Profit and Loss Account</t>
  </si>
  <si>
    <t>MARINE</t>
  </si>
  <si>
    <t>MOTOR</t>
  </si>
  <si>
    <t>HEALTH</t>
  </si>
  <si>
    <t>OTHER MISCELLANEOUS</t>
  </si>
  <si>
    <t>Others</t>
  </si>
  <si>
    <t>Less: Amount utilized for Buy-back</t>
  </si>
  <si>
    <t>Other Reserves</t>
  </si>
  <si>
    <t>(c) Cheque in Hand</t>
  </si>
  <si>
    <t>(d) Others</t>
  </si>
  <si>
    <t>LIABILITY</t>
  </si>
  <si>
    <t>Other Expenses</t>
  </si>
  <si>
    <t>Fair Value Change Account</t>
  </si>
  <si>
    <t>(c) Accretion/(Amortisation) of Debt Securities</t>
  </si>
  <si>
    <t>(d) Amortization of Discount / (Premium)</t>
  </si>
  <si>
    <t>Deferred Tax Liability</t>
  </si>
  <si>
    <t>(c) Others</t>
  </si>
  <si>
    <t>Addition during the year - Balance Transferred From P &amp; L Account</t>
  </si>
  <si>
    <t>Add: Dividend and dividend Distribution tax</t>
  </si>
  <si>
    <t>Add: Issue of Bonus shares</t>
  </si>
  <si>
    <t xml:space="preserve">OTHER EXPENSES </t>
  </si>
  <si>
    <t>Share/Security Premium</t>
  </si>
  <si>
    <t>Liberty General</t>
  </si>
  <si>
    <t>Industry Total</t>
  </si>
  <si>
    <t>AVIATION</t>
  </si>
  <si>
    <t>Foreign Currency Translation Reserve</t>
  </si>
  <si>
    <t>Exchange Loss</t>
  </si>
  <si>
    <t>Provision for diminution in the value of Investments, amortisation of Premium on investments, an amount written off in respect of depreciated investments</t>
  </si>
  <si>
    <t>NL-13 Loans as at 31 Mar 2018</t>
  </si>
  <si>
    <t>NL-1 Revenue Account upto the year ended 31 Mar 2018</t>
  </si>
  <si>
    <t>NL-2 Profit and Loss Account upto the year ended 31 Mar 2018</t>
  </si>
  <si>
    <t>NL-3 Balance Sheet as at 31 Mar 2018</t>
  </si>
  <si>
    <t>NL-10 Reserves and Surplus as at 31 Mar 2018</t>
  </si>
  <si>
    <t>NL-15 Cash and Bank Balance as at 31 Mar 2018</t>
  </si>
  <si>
    <t>For Q4 2017-18</t>
  </si>
  <si>
    <t>Upto 12 months 2017-18</t>
  </si>
  <si>
    <t>Premium from direct business written net of Service Tax</t>
  </si>
  <si>
    <t>Net Premium</t>
  </si>
  <si>
    <t>Premium Earned (Net)</t>
  </si>
  <si>
    <t>Direct claims</t>
  </si>
  <si>
    <t>Net Claims Incurred</t>
  </si>
  <si>
    <t>NL-6 Commission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</si>
  <si>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</si>
  <si>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</si>
  <si>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</si>
  <si>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</si>
  <si>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</si>
  <si>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</si>
  <si>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</si>
  <si>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</si>
  <si>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</si>
  <si>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Auditors fees, expenses etc.</t>
  </si>
  <si>
    <t>(a) as auditor</t>
  </si>
  <si>
    <t>(b) as adviser or in any other capacity, in respect of</t>
  </si>
  <si>
    <t xml:space="preserve">                (i) Taxation matters</t>
  </si>
  <si>
    <t xml:space="preserve">               (ii) Insurance matters</t>
  </si>
  <si>
    <t xml:space="preserve">              (iii) Management services</t>
  </si>
  <si>
    <t>(c) in any other capacity</t>
  </si>
  <si>
    <t>(d) out of pocket expenses</t>
  </si>
  <si>
    <t>Advertisement and publicity</t>
  </si>
  <si>
    <t>Interest and bank charges</t>
  </si>
  <si>
    <t>Depreciation</t>
  </si>
  <si>
    <t>Service Tax Expenses / GST Expenses</t>
  </si>
  <si>
    <t>NL-14 Fixed Assets. Net Block as at 31 Mar 2018</t>
  </si>
  <si>
    <t>Goodwill</t>
  </si>
  <si>
    <t>Intangibles (Software)</t>
  </si>
  <si>
    <t>Land-Freehold</t>
  </si>
  <si>
    <t>Land-Leasehold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</si>
  <si>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</si>
  <si>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</si>
  <si>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</si>
  <si>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</si>
  <si>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</si>
  <si>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</si>
  <si>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</si>
  <si>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</si>
  <si>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</si>
  <si>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</si>
  <si>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</si>
  <si>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</si>
  <si>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</si>
  <si>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</si>
  <si>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</si>
  <si>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</si>
  <si>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</si>
  <si>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</si>
  <si>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</si>
  <si>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</si>
  <si>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</si>
  <si>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</si>
  <si>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</si>
  <si>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(h) Auto Ancillary and Venture Capital</t>
  </si>
  <si>
    <t>Investments in Infrastructure and Social Sector</t>
  </si>
  <si>
    <t>Other than Approved Investments</t>
  </si>
  <si>
    <t>TOTAL LONG TERM INVESTMENTS</t>
  </si>
  <si>
    <t>SHORT TERM INVESTMENTS</t>
  </si>
  <si>
    <t>(c) Derivative Instruments</t>
  </si>
  <si>
    <t>(d) Debentures/ Bonds</t>
  </si>
  <si>
    <t>(f) Other securities</t>
  </si>
  <si>
    <t>(g) Fixed Deposit with Bank</t>
  </si>
  <si>
    <t>(h) Subsidiaries</t>
  </si>
  <si>
    <t>TOTAL SHORT TERM INVESTMENTS</t>
  </si>
  <si>
    <t>Shareholders</t>
  </si>
  <si>
    <t>Policyholders</t>
  </si>
  <si>
    <t>Total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</si>
  <si>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</si>
  <si>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</si>
  <si>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</si>
  <si>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</si>
  <si>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</si>
  <si>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</si>
  <si>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</si>
  <si>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</si>
  <si>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</si>
  <si>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</si>
  <si>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Interest on unclaimed amount of policyholders</t>
  </si>
  <si>
    <t xml:space="preserve">NL-23 Reinsurance Risk Concentration </t>
  </si>
  <si>
    <t>in Rs. Lakhs</t>
  </si>
  <si>
    <t>Reinsurance Placement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</si>
  <si>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</si>
  <si>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</si>
  <si>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</si>
  <si>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</si>
  <si>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</si>
  <si>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</si>
  <si>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</si>
  <si>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</si>
  <si>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</si>
  <si>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</si>
  <si>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</si>
  <si>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</si>
  <si>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</si>
  <si>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</si>
  <si>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NL-25 Quarterly Claims Data (for Q4)</t>
  </si>
  <si>
    <t>No. of Claims only</t>
  </si>
  <si>
    <t>Motor TP</t>
  </si>
  <si>
    <t>Non TP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</si>
  <si>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</si>
  <si>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</si>
  <si>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</si>
  <si>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</si>
  <si>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</si>
  <si>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</si>
  <si>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</si>
  <si>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</si>
  <si>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</si>
  <si>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</si>
  <si>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3 year and above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</si>
  <si>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</si>
  <si>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</si>
  <si>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</si>
  <si>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</si>
  <si>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</si>
  <si>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</si>
  <si>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</si>
  <si>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</si>
  <si>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</si>
  <si>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</si>
  <si>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</si>
  <si>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</si>
  <si>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</si>
  <si>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</si>
  <si>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</si>
  <si>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</si>
  <si>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</si>
  <si>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</si>
  <si>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</si>
  <si>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</si>
  <si>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</si>
  <si>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Available Assets in Policyholders’ Funds</t>
  </si>
  <si>
    <t>Deduct: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</si>
  <si>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</si>
  <si>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</si>
  <si>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</si>
  <si>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</si>
  <si>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</si>
  <si>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</si>
  <si>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</si>
  <si>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</si>
  <si>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</si>
  <si>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</si>
  <si>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</si>
  <si>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 xml:space="preserve">NL-40 Business Acquisition Through Different Channels </t>
  </si>
  <si>
    <t>No. of Policies- in number only, Premium- in Rs. Lakhs</t>
  </si>
  <si>
    <t>No.of Policies</t>
  </si>
  <si>
    <t>Premium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</si>
  <si>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</si>
  <si>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</si>
  <si>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</si>
  <si>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</si>
  <si>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</si>
  <si>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</si>
  <si>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</si>
  <si>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</si>
  <si>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</si>
  <si>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NL-12 Investments as at 31 Mar 2018</t>
  </si>
  <si>
    <t xml:space="preserve">NL-4 Premium </t>
  </si>
  <si>
    <t xml:space="preserve">NL-5 Claims </t>
  </si>
  <si>
    <t>NL-17 Current Liabilities
as at 31 Mar 2018</t>
  </si>
  <si>
    <t>NL-30 Analytical Ratios for FY 2017-18</t>
  </si>
  <si>
    <t>NL-33 Solvency Margin KGII for the period ended 31 Mar 2018</t>
  </si>
  <si>
    <t>Government</t>
  </si>
  <si>
    <t>18.03.14</t>
  </si>
  <si>
    <t xml:space="preserve">Leasehold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</si>
</sst>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_);\(0\)"/>
    <numFmt numFmtId="166" formatCode="0.000%"/>
    <numFmt numFmtId="167" formatCode="0.0%"/>
    <numFmt numFmtId="168" formatCode="0.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indexed="8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2" fillId="0" borderId="0"/>
    <xf numFmtId="9" fontId="2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Alignment="1">
      <alignment wrapText="1"/>
    </xf>
    <xf numFmtId="1" fontId="0" fillId="0" borderId="0" xfId="0" applyNumberFormat="1" applyFont="1"/>
    <xf numFmtId="1" fontId="0" fillId="0" borderId="0" xfId="0" applyNumberFormat="1" applyBorder="1"/>
    <xf numFmtId="1" fontId="0" fillId="0" borderId="0" xfId="0" applyNumberFormat="1" applyFont="1" applyBorder="1"/>
    <xf numFmtId="1" fontId="4" fillId="0" borderId="0" xfId="0" applyNumberFormat="1" applyFont="1"/>
    <xf numFmtId="1" fontId="9" fillId="0" borderId="0" xfId="0" applyNumberFormat="1" applyFont="1"/>
    <xf numFmtId="1" fontId="7" fillId="0" borderId="0" xfId="0" applyNumberFormat="1" applyFont="1"/>
    <xf numFmtId="1" fontId="5" fillId="0" borderId="0" xfId="0" applyNumberFormat="1" applyFont="1" applyFill="1" applyBorder="1" applyAlignment="1">
      <alignment horizontal="right" vertical="top" shrinkToFit="1"/>
    </xf>
    <xf numFmtId="1" fontId="8" fillId="0" borderId="0" xfId="0" applyNumberFormat="1" applyFont="1"/>
    <xf numFmtId="1" fontId="5" fillId="0" borderId="0" xfId="0" applyNumberFormat="1" applyFont="1" applyFill="1" applyBorder="1" applyAlignment="1">
      <alignment horizontal="left" vertical="top"/>
    </xf>
    <xf numFmtId="1" fontId="10" fillId="0" borderId="0" xfId="0" applyNumberFormat="1" applyFont="1" applyFill="1" applyBorder="1" applyAlignment="1">
      <alignment horizontal="left" vertical="top"/>
    </xf>
    <xf numFmtId="1" fontId="10" fillId="0" borderId="0" xfId="0" applyNumberFormat="1" applyFont="1" applyFill="1" applyBorder="1" applyAlignment="1">
      <alignment horizontal="right" vertical="top" shrinkToFit="1"/>
    </xf>
    <xf numFmtId="1" fontId="0" fillId="0" borderId="1" xfId="0" applyNumberFormat="1" applyBorder="1"/>
    <xf numFmtId="1" fontId="7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wrapText="1"/>
    </xf>
    <xf numFmtId="1" fontId="7" fillId="0" borderId="1" xfId="0" applyNumberFormat="1" applyFont="1" applyBorder="1"/>
    <xf numFmtId="1" fontId="0" fillId="0" borderId="1" xfId="0" applyNumberFormat="1" applyBorder="1" applyAlignment="1">
      <alignment wrapText="1"/>
    </xf>
    <xf numFmtId="1" fontId="7" fillId="0" borderId="1" xfId="0" applyNumberFormat="1" applyFont="1" applyBorder="1" applyAlignment="1">
      <alignment horizontal="left" wrapText="1"/>
    </xf>
    <xf numFmtId="1" fontId="11" fillId="0" borderId="0" xfId="0" applyNumberFormat="1" applyFont="1" applyAlignment="1">
      <alignment wrapText="1"/>
    </xf>
    <xf numFmtId="1" fontId="0" fillId="0" borderId="1" xfId="0" applyNumberFormat="1" applyFill="1" applyBorder="1"/>
    <xf numFmtId="1" fontId="1" fillId="0" borderId="1" xfId="0" applyNumberFormat="1" applyFont="1" applyBorder="1"/>
    <xf numFmtId="1" fontId="1" fillId="0" borderId="1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1" fontId="5" fillId="0" borderId="1" xfId="0" applyNumberFormat="1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left" vertical="top"/>
    </xf>
    <xf numFmtId="1" fontId="11" fillId="0" borderId="0" xfId="0" applyNumberFormat="1" applyFont="1"/>
    <xf numFmtId="1" fontId="1" fillId="0" borderId="0" xfId="0" applyNumberFormat="1" applyFont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/>
    <xf numFmtId="1" fontId="6" fillId="0" borderId="1" xfId="0" applyNumberFormat="1" applyFont="1" applyBorder="1"/>
    <xf numFmtId="1" fontId="5" fillId="0" borderId="1" xfId="0" applyNumberFormat="1" applyFont="1" applyFill="1" applyBorder="1" applyAlignment="1">
      <alignment horizontal="right" vertical="top" shrinkToFit="1"/>
    </xf>
    <xf numFmtId="2" fontId="0" fillId="0" borderId="1" xfId="0" applyNumberFormat="1" applyBorder="1"/>
    <xf numFmtId="0" fontId="7" fillId="0" borderId="1" xfId="0" applyFont="1" applyBorder="1" applyAlignment="1">
      <alignment horizontal="center"/>
    </xf>
    <xf numFmtId="0" fontId="0" fillId="0" borderId="1" xfId="0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 wrapText="1"/>
    </xf>
    <xf numFmtId="1" fontId="4" fillId="0" borderId="0" xfId="0" applyNumberFormat="1" applyFont="1" applyBorder="1"/>
    <xf numFmtId="1" fontId="11" fillId="0" borderId="0" xfId="0" applyNumberFormat="1" applyFont="1" applyAlignment="1"/>
    <xf numFmtId="1" fontId="0" fillId="0" borderId="0" xfId="0" applyNumberFormat="1" applyFont="1" applyAlignment="1">
      <alignment wrapText="1"/>
    </xf>
    <xf numFmtId="2" fontId="7" fillId="0" borderId="1" xfId="0" applyNumberFormat="1" applyFont="1" applyBorder="1"/>
    <xf numFmtId="1" fontId="0" fillId="0" borderId="0" xfId="0" applyNumberFormat="1" applyFill="1"/>
    <xf numFmtId="1" fontId="7" fillId="0" borderId="1" xfId="0" applyNumberFormat="1" applyFont="1" applyFill="1" applyBorder="1"/>
    <xf numFmtId="3" fontId="0" fillId="0" borderId="1" xfId="0" applyNumberFormat="1" applyFill="1" applyBorder="1"/>
    <xf numFmtId="1" fontId="0" fillId="0" borderId="1" xfId="0" applyNumberFormat="1" applyFont="1" applyFill="1" applyBorder="1"/>
    <xf numFmtId="1" fontId="3" fillId="0" borderId="1" xfId="0" applyNumberFormat="1" applyFont="1" applyFill="1" applyBorder="1"/>
    <xf numFmtId="1" fontId="6" fillId="0" borderId="1" xfId="0" applyNumberFormat="1" applyFont="1" applyFill="1" applyBorder="1"/>
    <xf numFmtId="1" fontId="4" fillId="0" borderId="1" xfId="0" applyNumberFormat="1" applyFont="1" applyFill="1" applyBorder="1"/>
    <xf numFmtId="165" fontId="13" fillId="0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1" fontId="1" fillId="0" borderId="1" xfId="0" applyNumberFormat="1" applyFont="1" applyFill="1" applyBorder="1"/>
    <xf numFmtId="1" fontId="4" fillId="0" borderId="0" xfId="0" applyNumberFormat="1" applyFont="1" applyAlignment="1">
      <alignment wrapText="1"/>
    </xf>
    <xf numFmtId="1" fontId="3" fillId="0" borderId="0" xfId="0" applyNumberFormat="1" applyFont="1"/>
    <xf numFmtId="1" fontId="0" fillId="0" borderId="1" xfId="0" applyNumberFormat="1" applyFont="1" applyBorder="1" applyAlignment="1">
      <alignment wrapText="1"/>
    </xf>
    <xf numFmtId="1" fontId="14" fillId="0" borderId="5" xfId="0" applyNumberFormat="1" applyFont="1" applyFill="1" applyBorder="1" applyAlignment="1">
      <alignment horizontal="right" wrapText="1"/>
    </xf>
    <xf numFmtId="3" fontId="0" fillId="0" borderId="1" xfId="0" applyNumberFormat="1" applyBorder="1"/>
    <xf numFmtId="1" fontId="14" fillId="0" borderId="5" xfId="0" applyNumberFormat="1" applyFont="1" applyFill="1" applyBorder="1" applyAlignment="1">
      <alignment horizontal="right" vertical="top" wrapText="1"/>
    </xf>
    <xf numFmtId="1" fontId="14" fillId="0" borderId="1" xfId="0" applyNumberFormat="1" applyFont="1" applyFill="1" applyBorder="1" applyAlignment="1">
      <alignment horizontal="right" wrapText="1"/>
    </xf>
    <xf numFmtId="1" fontId="15" fillId="0" borderId="5" xfId="0" applyNumberFormat="1" applyFont="1" applyFill="1" applyBorder="1" applyAlignment="1">
      <alignment horizontal="right" vertical="top" shrinkToFit="1"/>
    </xf>
    <xf numFmtId="1" fontId="15" fillId="0" borderId="5" xfId="0" applyNumberFormat="1" applyFont="1" applyFill="1" applyBorder="1" applyAlignment="1">
      <alignment horizontal="right" shrinkToFit="1"/>
    </xf>
    <xf numFmtId="1" fontId="5" fillId="0" borderId="1" xfId="0" applyNumberFormat="1" applyFont="1" applyFill="1" applyBorder="1" applyAlignment="1">
      <alignment horizontal="right" vertical="top" indent="1" shrinkToFit="1"/>
    </xf>
    <xf numFmtId="1" fontId="1" fillId="0" borderId="0" xfId="0" applyNumberFormat="1" applyFont="1" applyAlignment="1">
      <alignment wrapText="1"/>
    </xf>
    <xf numFmtId="1" fontId="0" fillId="0" borderId="2" xfId="0" applyNumberFormat="1" applyFont="1" applyBorder="1"/>
    <xf numFmtId="1" fontId="14" fillId="0" borderId="5" xfId="0" applyNumberFormat="1" applyFont="1" applyFill="1" applyBorder="1" applyAlignment="1">
      <alignment horizontal="right" vertical="top" shrinkToFit="1"/>
    </xf>
    <xf numFmtId="1" fontId="0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1" fontId="6" fillId="0" borderId="1" xfId="0" applyNumberFormat="1" applyFont="1" applyBorder="1" applyAlignment="1"/>
    <xf numFmtId="1" fontId="5" fillId="0" borderId="1" xfId="0" applyNumberFormat="1" applyFont="1" applyFill="1" applyBorder="1" applyAlignment="1">
      <alignment horizontal="right" shrinkToFit="1"/>
    </xf>
    <xf numFmtId="1" fontId="10" fillId="0" borderId="1" xfId="0" applyNumberFormat="1" applyFont="1" applyFill="1" applyBorder="1" applyAlignment="1">
      <alignment horizontal="right" vertical="top" shrinkToFit="1"/>
    </xf>
    <xf numFmtId="1" fontId="0" fillId="0" borderId="0" xfId="0" applyNumberFormat="1" applyFont="1" applyFill="1" applyBorder="1" applyAlignment="1">
      <alignment horizontal="left" vertical="top"/>
    </xf>
    <xf numFmtId="1" fontId="15" fillId="0" borderId="1" xfId="0" applyNumberFormat="1" applyFont="1" applyFill="1" applyBorder="1" applyAlignment="1">
      <alignment horizontal="right" vertical="top" shrinkToFit="1"/>
    </xf>
    <xf numFmtId="1" fontId="1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right"/>
    </xf>
    <xf numFmtId="1" fontId="6" fillId="0" borderId="5" xfId="0" applyNumberFormat="1" applyFont="1" applyFill="1" applyBorder="1" applyAlignment="1">
      <alignment horizontal="right" vertical="top" wrapText="1"/>
    </xf>
    <xf numFmtId="1" fontId="0" fillId="0" borderId="1" xfId="0" applyNumberFormat="1" applyFont="1" applyFill="1" applyBorder="1" applyAlignment="1">
      <alignment horizontal="right" vertical="top"/>
    </xf>
    <xf numFmtId="1" fontId="18" fillId="0" borderId="1" xfId="0" applyNumberFormat="1" applyFont="1" applyFill="1" applyBorder="1" applyAlignment="1">
      <alignment horizontal="right" vertical="top" indent="3" shrinkToFit="1"/>
    </xf>
    <xf numFmtId="1" fontId="5" fillId="0" borderId="1" xfId="0" applyNumberFormat="1" applyFont="1" applyFill="1" applyBorder="1" applyAlignment="1">
      <alignment horizontal="left" vertical="top" indent="3" shrinkToFit="1"/>
    </xf>
    <xf numFmtId="1" fontId="5" fillId="0" borderId="1" xfId="0" applyNumberFormat="1" applyFont="1" applyFill="1" applyBorder="1" applyAlignment="1">
      <alignment horizontal="right" vertical="top" indent="3" shrinkToFit="1"/>
    </xf>
    <xf numFmtId="1" fontId="0" fillId="0" borderId="0" xfId="0" applyNumberFormat="1" applyFont="1" applyFill="1" applyBorder="1" applyAlignment="1">
      <alignment horizontal="right" vertical="top"/>
    </xf>
    <xf numFmtId="1" fontId="15" fillId="3" borderId="1" xfId="0" applyNumberFormat="1" applyFont="1" applyFill="1" applyBorder="1" applyAlignment="1">
      <alignment horizontal="right" vertical="top" shrinkToFit="1"/>
    </xf>
    <xf numFmtId="1" fontId="6" fillId="0" borderId="1" xfId="0" applyNumberFormat="1" applyFont="1" applyBorder="1" applyAlignment="1">
      <alignment wrapText="1"/>
    </xf>
    <xf numFmtId="1" fontId="5" fillId="0" borderId="0" xfId="0" applyNumberFormat="1" applyFont="1" applyAlignment="1">
      <alignment horizontal="right" vertical="top" shrinkToFit="1"/>
    </xf>
    <xf numFmtId="1" fontId="10" fillId="0" borderId="0" xfId="0" applyNumberFormat="1" applyFont="1" applyAlignment="1">
      <alignment horizontal="right" vertical="top" shrinkToFit="1"/>
    </xf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11" fillId="0" borderId="0" xfId="0" applyNumberFormat="1" applyFont="1"/>
    <xf numFmtId="1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NumberFormat="1"/>
    <xf numFmtId="10" fontId="0" fillId="0" borderId="0" xfId="3" applyNumberFormat="1" applyFont="1"/>
    <xf numFmtId="2" fontId="0" fillId="0" borderId="0" xfId="0" applyNumberFormat="1" applyAlignment="1">
      <alignment horizontal="center"/>
    </xf>
    <xf numFmtId="2" fontId="7" fillId="0" borderId="1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NumberFormat="1" applyBorder="1"/>
    <xf numFmtId="10" fontId="0" fillId="0" borderId="1" xfId="3" applyNumberFormat="1" applyFont="1" applyBorder="1"/>
    <xf numFmtId="9" fontId="0" fillId="0" borderId="1" xfId="3" applyFont="1" applyBorder="1"/>
    <xf numFmtId="2" fontId="0" fillId="0" borderId="1" xfId="0" applyNumberFormat="1" applyBorder="1" applyAlignment="1">
      <alignment horizontal="center"/>
    </xf>
    <xf numFmtId="10" fontId="0" fillId="0" borderId="1" xfId="0" applyNumberFormat="1" applyBorder="1"/>
    <xf numFmtId="0" fontId="0" fillId="0" borderId="1" xfId="0" applyBorder="1" applyAlignment="1">
      <alignment horizontal="center"/>
    </xf>
    <xf numFmtId="166" fontId="0" fillId="0" borderId="1" xfId="3" applyNumberFormat="1" applyFont="1" applyBorder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0" fontId="1" fillId="0" borderId="1" xfId="3" applyNumberFormat="1" applyFont="1" applyBorder="1"/>
    <xf numFmtId="10" fontId="1" fillId="0" borderId="1" xfId="0" applyNumberFormat="1" applyFont="1" applyBorder="1"/>
    <xf numFmtId="9" fontId="0" fillId="0" borderId="1" xfId="0" applyNumberFormat="1" applyBorder="1"/>
    <xf numFmtId="167" fontId="0" fillId="0" borderId="1" xfId="0" applyNumberFormat="1" applyBorder="1"/>
    <xf numFmtId="4" fontId="0" fillId="0" borderId="1" xfId="0" applyNumberFormat="1" applyBorder="1"/>
    <xf numFmtId="10" fontId="15" fillId="3" borderId="5" xfId="0" applyNumberFormat="1" applyFont="1" applyFill="1" applyBorder="1" applyAlignment="1">
      <alignment horizontal="right" shrinkToFit="1"/>
    </xf>
    <xf numFmtId="2" fontId="0" fillId="0" borderId="1" xfId="3" applyNumberFormat="1" applyFont="1" applyBorder="1"/>
    <xf numFmtId="0" fontId="0" fillId="0" borderId="1" xfId="0" applyFill="1" applyBorder="1"/>
    <xf numFmtId="168" fontId="0" fillId="0" borderId="1" xfId="0" applyNumberFormat="1" applyBorder="1"/>
    <xf numFmtId="2" fontId="7" fillId="0" borderId="1" xfId="0" applyNumberFormat="1" applyFont="1" applyBorder="1" applyAlignment="1">
      <alignment wrapText="1"/>
    </xf>
    <xf numFmtId="0" fontId="7" fillId="0" borderId="2" xfId="0" applyFont="1" applyBorder="1" applyAlignment="1"/>
    <xf numFmtId="0" fontId="7" fillId="0" borderId="1" xfId="0" applyFont="1" applyBorder="1" applyAlignment="1"/>
    <xf numFmtId="0" fontId="0" fillId="0" borderId="1" xfId="3" applyNumberFormat="1" applyFont="1" applyBorder="1"/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right"/>
    </xf>
    <xf numFmtId="10" fontId="15" fillId="3" borderId="5" xfId="0" applyNumberFormat="1" applyFont="1" applyFill="1" applyBorder="1" applyAlignment="1">
      <alignment shrinkToFit="1"/>
    </xf>
    <xf numFmtId="10" fontId="0" fillId="3" borderId="5" xfId="0" applyNumberFormat="1" applyFont="1" applyFill="1" applyBorder="1" applyAlignment="1">
      <alignment wrapText="1"/>
    </xf>
    <xf numFmtId="0" fontId="0" fillId="3" borderId="5" xfId="0" applyFont="1" applyFill="1" applyBorder="1" applyAlignment="1">
      <alignment wrapText="1"/>
    </xf>
    <xf numFmtId="1" fontId="19" fillId="0" borderId="1" xfId="0" applyNumberFormat="1" applyFont="1" applyFill="1" applyBorder="1"/>
    <xf numFmtId="1" fontId="6" fillId="0" borderId="0" xfId="0" applyNumberFormat="1" applyFont="1"/>
    <xf numFmtId="1" fontId="0" fillId="0" borderId="1" xfId="0" applyNumberFormat="1" applyFont="1" applyFill="1" applyBorder="1" applyAlignment="1">
      <alignment wrapText="1"/>
    </xf>
    <xf numFmtId="1" fontId="0" fillId="0" borderId="0" xfId="0" applyNumberFormat="1" applyFont="1" applyFill="1"/>
    <xf numFmtId="1" fontId="0" fillId="0" borderId="0" xfId="0" applyNumberFormat="1" applyFont="1" applyBorder="1" applyAlignment="1">
      <alignment horizontal="left" vertical="top"/>
    </xf>
    <xf numFmtId="1" fontId="14" fillId="0" borderId="1" xfId="0" applyNumberFormat="1" applyFont="1" applyBorder="1" applyAlignment="1">
      <alignment horizontal="right" vertical="top" wrapText="1"/>
    </xf>
    <xf numFmtId="1" fontId="15" fillId="0" borderId="1" xfId="0" applyNumberFormat="1" applyFont="1" applyBorder="1" applyAlignment="1">
      <alignment horizontal="right" vertical="top" shrinkToFit="1"/>
    </xf>
    <xf numFmtId="1" fontId="0" fillId="0" borderId="1" xfId="0" applyNumberFormat="1" applyFont="1" applyBorder="1" applyAlignment="1">
      <alignment horizontal="right" vertical="top" wrapText="1"/>
    </xf>
    <xf numFmtId="1" fontId="0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 applyAlignment="1">
      <alignment horizontal="right" vertical="center" wrapText="1"/>
    </xf>
    <xf numFmtId="1" fontId="0" fillId="0" borderId="1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left" vertical="top"/>
    </xf>
    <xf numFmtId="1" fontId="6" fillId="2" borderId="1" xfId="0" applyNumberFormat="1" applyFont="1" applyFill="1" applyBorder="1" applyAlignment="1">
      <alignment vertical="top" wrapText="1"/>
    </xf>
    <xf numFmtId="1" fontId="6" fillId="0" borderId="1" xfId="2" applyNumberFormat="1" applyFont="1" applyBorder="1" applyAlignment="1">
      <alignment vertical="top"/>
    </xf>
    <xf numFmtId="0" fontId="0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vertical="top" wrapText="1"/>
    </xf>
    <xf numFmtId="1" fontId="6" fillId="0" borderId="1" xfId="2" applyNumberFormat="1" applyFont="1" applyBorder="1" applyAlignment="1">
      <alignment vertical="center"/>
    </xf>
    <xf numFmtId="3" fontId="0" fillId="0" borderId="1" xfId="0" applyNumberFormat="1" applyFont="1" applyBorder="1"/>
    <xf numFmtId="1" fontId="0" fillId="0" borderId="1" xfId="1" applyNumberFormat="1" applyFont="1" applyBorder="1" applyAlignment="1">
      <alignment horizontal="right"/>
    </xf>
    <xf numFmtId="1" fontId="6" fillId="0" borderId="1" xfId="2" applyNumberFormat="1" applyFont="1" applyBorder="1" applyAlignment="1">
      <alignment vertical="top" wrapText="1"/>
    </xf>
    <xf numFmtId="1" fontId="6" fillId="0" borderId="1" xfId="2" applyNumberFormat="1" applyFont="1" applyBorder="1" applyAlignment="1">
      <alignment wrapText="1"/>
    </xf>
    <xf numFmtId="165" fontId="19" fillId="2" borderId="1" xfId="0" applyNumberFormat="1" applyFont="1" applyFill="1" applyBorder="1" applyAlignment="1">
      <alignment horizontal="right" vertical="top" wrapText="1"/>
    </xf>
    <xf numFmtId="165" fontId="6" fillId="2" borderId="1" xfId="0" applyNumberFormat="1" applyFont="1" applyFill="1" applyBorder="1" applyAlignment="1">
      <alignment horizontal="right" vertical="top" wrapText="1"/>
    </xf>
    <xf numFmtId="1" fontId="7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0" fontId="0" fillId="0" borderId="3" xfId="3" applyNumberFormat="1" applyFont="1" applyBorder="1" applyAlignment="1">
      <alignment horizontal="center"/>
    </xf>
    <xf numFmtId="10" fontId="0" fillId="0" borderId="4" xfId="3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0" fontId="1" fillId="0" borderId="1" xfId="3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/>
    </xf>
    <xf numFmtId="1" fontId="19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%20Drive\Sanadiip_Official\Ruchika\Public%20Disclosures%20-%202013-14%20to%202017-18\2017-18\National\NL-4%20PREM%20S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-4 PREM SCH"/>
    </sheetNames>
    <sheetDataSet>
      <sheetData sheetId="0">
        <row r="13">
          <cell r="BO13">
            <v>30949859.379560817</v>
          </cell>
          <cell r="BP13">
            <v>114650079.88154373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31" style="51" customWidth="1"/>
    <col min="2" max="25" width="14.5703125" style="7" customWidth="1"/>
    <col min="26" max="26" width="16.28515625" style="7" bestFit="1" customWidth="1"/>
    <col min="27" max="27" width="14.5703125" style="7" customWidth="1"/>
    <col min="28" max="28" width="15.7109375" style="7" customWidth="1"/>
    <col min="29" max="33" width="14.5703125" style="7" customWidth="1"/>
    <col min="34" max="34" width="16.140625" style="7" bestFit="1" customWidth="1"/>
    <col min="35" max="35" width="14.5703125" style="7" customWidth="1"/>
    <col min="36" max="16384" width="9.140625" style="7"/>
  </cols>
  <sheetData>
    <row r="1" spans="1:35" s="14" customFormat="1" ht="18.75" x14ac:dyDescent="0.3">
      <c r="A1" s="50" t="s">
        <v>156</v>
      </c>
    </row>
    <row r="2" spans="1:35" x14ac:dyDescent="0.25">
      <c r="A2" s="51" t="s">
        <v>42</v>
      </c>
    </row>
    <row r="3" spans="1:35" s="12" customFormat="1" x14ac:dyDescent="0.25">
      <c r="A3" s="20" t="s">
        <v>0</v>
      </c>
      <c r="B3" s="130" t="s">
        <v>1</v>
      </c>
      <c r="C3" s="130" t="s">
        <v>2</v>
      </c>
      <c r="D3" s="130" t="s">
        <v>3</v>
      </c>
      <c r="E3" s="130" t="s">
        <v>4</v>
      </c>
      <c r="F3" s="130" t="s">
        <v>5</v>
      </c>
      <c r="G3" s="130" t="s">
        <v>6</v>
      </c>
      <c r="H3" s="130" t="s">
        <v>7</v>
      </c>
      <c r="I3" s="130" t="s">
        <v>8</v>
      </c>
      <c r="J3" s="130" t="s">
        <v>9</v>
      </c>
      <c r="K3" s="130" t="s">
        <v>10</v>
      </c>
      <c r="L3" s="130" t="s">
        <v>11</v>
      </c>
      <c r="M3" s="130" t="s">
        <v>12</v>
      </c>
      <c r="N3" s="130" t="s">
        <v>13</v>
      </c>
      <c r="O3" s="130" t="s">
        <v>14</v>
      </c>
      <c r="P3" s="130" t="s">
        <v>15</v>
      </c>
      <c r="Q3" s="130" t="s">
        <v>16</v>
      </c>
      <c r="R3" s="130" t="s">
        <v>17</v>
      </c>
      <c r="S3" s="130" t="s">
        <v>18</v>
      </c>
      <c r="T3" s="130" t="s">
        <v>19</v>
      </c>
      <c r="U3" s="130" t="s">
        <v>20</v>
      </c>
      <c r="V3" s="130" t="s">
        <v>21</v>
      </c>
      <c r="W3" s="130" t="s">
        <v>109</v>
      </c>
      <c r="X3" s="130" t="s">
        <v>110</v>
      </c>
      <c r="Y3" s="130" t="s">
        <v>22</v>
      </c>
      <c r="Z3" s="130" t="s">
        <v>23</v>
      </c>
      <c r="AA3" s="130" t="s">
        <v>24</v>
      </c>
      <c r="AB3" s="130" t="s">
        <v>25</v>
      </c>
      <c r="AC3" s="130" t="s">
        <v>26</v>
      </c>
      <c r="AD3" s="130" t="s">
        <v>27</v>
      </c>
      <c r="AE3" s="130" t="s">
        <v>28</v>
      </c>
      <c r="AF3" s="130" t="s">
        <v>29</v>
      </c>
      <c r="AG3" s="130" t="s">
        <v>30</v>
      </c>
      <c r="AH3" s="130" t="s">
        <v>31</v>
      </c>
      <c r="AI3" s="130" t="s">
        <v>150</v>
      </c>
    </row>
    <row r="4" spans="1:35" x14ac:dyDescent="0.25">
      <c r="A4" s="65" t="s">
        <v>32</v>
      </c>
      <c r="B4" s="56">
        <v>-3538.2269999999999</v>
      </c>
      <c r="C4" s="56">
        <v>1519812</v>
      </c>
      <c r="D4" s="56">
        <v>17795232</v>
      </c>
      <c r="E4" s="56">
        <v>12643408</v>
      </c>
      <c r="F4" s="56">
        <v>60585689</v>
      </c>
      <c r="G4" s="56">
        <v>12134258</v>
      </c>
      <c r="H4" s="56">
        <v>811877</v>
      </c>
      <c r="I4" s="56">
        <v>2661391</v>
      </c>
      <c r="J4" s="56">
        <v>445801</v>
      </c>
      <c r="K4" s="56">
        <v>27</v>
      </c>
      <c r="L4" s="46">
        <v>8392370</v>
      </c>
      <c r="M4" s="56">
        <v>11827269</v>
      </c>
      <c r="N4" s="56">
        <v>74650</v>
      </c>
      <c r="O4" s="56"/>
      <c r="P4" s="56">
        <v>65718877</v>
      </c>
      <c r="Q4" s="56">
        <f>481413+576073+31305599</f>
        <v>32363085</v>
      </c>
      <c r="R4" s="56">
        <v>1158748</v>
      </c>
      <c r="S4" s="56">
        <v>29890</v>
      </c>
      <c r="T4" s="56">
        <f>50439+9577+3285741</f>
        <v>3345757</v>
      </c>
      <c r="U4" s="56">
        <v>5758542</v>
      </c>
      <c r="V4" s="41">
        <v>112665548.08804375</v>
      </c>
      <c r="W4" s="56">
        <f>19623390+3778699+173843892</f>
        <v>197245981</v>
      </c>
      <c r="X4" s="56">
        <f>5903810+2301536+88074718</f>
        <v>96280064</v>
      </c>
      <c r="Y4" s="56">
        <v>601914</v>
      </c>
      <c r="Z4" s="56">
        <f>768401+54140+27734066</f>
        <v>28556607</v>
      </c>
      <c r="AA4" s="138">
        <v>6796746</v>
      </c>
      <c r="AB4" s="56">
        <f>299240+160699+18944471</f>
        <v>19404410</v>
      </c>
      <c r="AC4" s="56">
        <v>18418726</v>
      </c>
      <c r="AD4" s="56">
        <v>18548937</v>
      </c>
      <c r="AE4" s="56">
        <v>27396000</v>
      </c>
      <c r="AF4" s="56">
        <v>33269666</v>
      </c>
      <c r="AG4" s="56">
        <v>128609842</v>
      </c>
      <c r="AH4" s="56">
        <f>56910+589466+11326500</f>
        <v>11972876</v>
      </c>
      <c r="AI4" s="41">
        <f>B4+C4+D4+E4+F4+G4+H4+I4+J4+K4+L4+M4+N4+O4+P4+Q4+R4+S4+T4+U4+V4+W4+X4+Y4+Z4+AA4+AB4+AC4+AD4+AE4+AF4+AG4+AH4</f>
        <v>937030461.86104369</v>
      </c>
    </row>
    <row r="5" spans="1:35" ht="30" x14ac:dyDescent="0.25">
      <c r="A5" s="65" t="s">
        <v>33</v>
      </c>
      <c r="B5" s="56">
        <v>325.94499999999999</v>
      </c>
      <c r="C5" s="56">
        <v>8133</v>
      </c>
      <c r="D5" s="56">
        <v>39983</v>
      </c>
      <c r="E5" s="56">
        <v>38801</v>
      </c>
      <c r="F5" s="56">
        <v>1532084</v>
      </c>
      <c r="G5" s="56">
        <v>164652</v>
      </c>
      <c r="H5" s="56">
        <v>26641</v>
      </c>
      <c r="I5" s="56">
        <v>8768</v>
      </c>
      <c r="J5" s="56">
        <v>2316</v>
      </c>
      <c r="K5" s="56"/>
      <c r="L5" s="46">
        <v>358388</v>
      </c>
      <c r="M5" s="56">
        <v>95438</v>
      </c>
      <c r="N5" s="56"/>
      <c r="O5" s="56"/>
      <c r="P5" s="56">
        <v>3158634</v>
      </c>
      <c r="Q5" s="56">
        <f>255291+4337+5004</f>
        <v>264632</v>
      </c>
      <c r="R5" s="56">
        <v>12778</v>
      </c>
      <c r="S5" s="56">
        <v>1106</v>
      </c>
      <c r="T5" s="41">
        <f>910+106+49598</f>
        <v>50614</v>
      </c>
      <c r="U5" s="56">
        <v>19899</v>
      </c>
      <c r="V5" s="41">
        <v>15748467</v>
      </c>
      <c r="W5" s="56">
        <f>12963711+385252+2287239</f>
        <v>15636202</v>
      </c>
      <c r="X5" s="56">
        <f>16226331+547369+1399943</f>
        <v>18173643</v>
      </c>
      <c r="Y5" s="56">
        <v>2775</v>
      </c>
      <c r="Z5" s="56">
        <f>14144+1816+419106</f>
        <v>435066</v>
      </c>
      <c r="AA5" s="56">
        <v>30906</v>
      </c>
      <c r="AB5" s="56">
        <f>338439+2313+11964</f>
        <v>352716</v>
      </c>
      <c r="AC5" s="56">
        <v>245821</v>
      </c>
      <c r="AD5" s="56">
        <v>1400534</v>
      </c>
      <c r="AE5" s="56">
        <v>70155</v>
      </c>
      <c r="AF5" s="56">
        <v>851812</v>
      </c>
      <c r="AG5" s="56">
        <v>16630853</v>
      </c>
      <c r="AH5" s="56">
        <f>310+8407+88106</f>
        <v>96823</v>
      </c>
      <c r="AI5" s="41">
        <f>B5+C5+D5+E5+F5+G5+H5+I5+J5+K5+L5+M5+N5+O5+P5+Q5+R5+S5+T7+U5+V5+W5+X5+Y5+Z5+AA5+AB5+AC5+AD5+AE5+AF5+AG5+AH5</f>
        <v>76070227.944999993</v>
      </c>
    </row>
    <row r="6" spans="1:35" x14ac:dyDescent="0.25">
      <c r="A6" s="65" t="s">
        <v>107</v>
      </c>
      <c r="B6" s="56"/>
      <c r="C6" s="56">
        <v>100</v>
      </c>
      <c r="D6" s="56">
        <v>488557</v>
      </c>
      <c r="E6" s="56">
        <v>29329</v>
      </c>
      <c r="F6" s="56">
        <f>171870-161180</f>
        <v>10690</v>
      </c>
      <c r="G6" s="56">
        <f>10587+22187+5714</f>
        <v>38488</v>
      </c>
      <c r="H6" s="56">
        <f>846+56440</f>
        <v>57286</v>
      </c>
      <c r="I6" s="56"/>
      <c r="J6" s="56"/>
      <c r="K6" s="56">
        <v>3</v>
      </c>
      <c r="L6" s="56">
        <f>13506+ 22180+2346+473</f>
        <v>38505</v>
      </c>
      <c r="M6" s="56">
        <v>18655</v>
      </c>
      <c r="N6" s="56"/>
      <c r="O6" s="56"/>
      <c r="P6" s="56">
        <f>48388+16331+-15545</f>
        <v>49174</v>
      </c>
      <c r="Q6" s="56">
        <f>-211-3815-1838+8885+6446+609</f>
        <v>10076</v>
      </c>
      <c r="R6" s="56">
        <v>69</v>
      </c>
      <c r="S6" s="56">
        <v>1838</v>
      </c>
      <c r="T6" s="56">
        <f>1483+16+4946</f>
        <v>6445</v>
      </c>
      <c r="U6" s="56"/>
      <c r="V6" s="41">
        <v>214</v>
      </c>
      <c r="W6" s="56"/>
      <c r="X6" s="56">
        <f>-19378-6911-222926</f>
        <v>-249215</v>
      </c>
      <c r="Y6" s="56">
        <f>1984+-368</f>
        <v>1616</v>
      </c>
      <c r="Z6" s="56">
        <f>50+-45+465+6424</f>
        <v>6894</v>
      </c>
      <c r="AA6" s="56"/>
      <c r="AB6" s="56"/>
      <c r="AC6" s="56">
        <f>8085+3075</f>
        <v>11160</v>
      </c>
      <c r="AD6" s="56">
        <v>21920</v>
      </c>
      <c r="AE6" s="56"/>
      <c r="AF6" s="56">
        <v>-90305</v>
      </c>
      <c r="AG6" s="56">
        <f>16049+2415</f>
        <v>18464</v>
      </c>
      <c r="AH6" s="56">
        <f>AH8-AH7-AH5-AH4</f>
        <v>-25761</v>
      </c>
      <c r="AI6" s="41">
        <f>B6+C6+D6+E7+F6+G6+H6+I6+J6+K6+L6+M6+N6+O6+P6+Q6+R6+S6+T6+U6+V6+W6+X6+Y6+Z6+AA6+AB6+AC6+AD6+AE6+AF6+AG6+AH6</f>
        <v>1080390</v>
      </c>
    </row>
    <row r="7" spans="1:35" x14ac:dyDescent="0.25">
      <c r="A7" s="65" t="s">
        <v>34</v>
      </c>
      <c r="B7" s="56">
        <v>322.49900000000002</v>
      </c>
      <c r="C7" s="56">
        <v>93078</v>
      </c>
      <c r="D7" s="56">
        <v>3179343</v>
      </c>
      <c r="E7" s="56">
        <v>665517</v>
      </c>
      <c r="F7" s="56">
        <v>7466752</v>
      </c>
      <c r="G7" s="56">
        <v>2067736</v>
      </c>
      <c r="H7" s="56">
        <v>213284</v>
      </c>
      <c r="I7" s="56">
        <v>142979</v>
      </c>
      <c r="J7" s="56">
        <v>12381</v>
      </c>
      <c r="K7" s="56">
        <v>56</v>
      </c>
      <c r="L7" s="46">
        <v>3914842</v>
      </c>
      <c r="M7" s="56">
        <v>1476110</v>
      </c>
      <c r="N7" s="56"/>
      <c r="O7" s="56"/>
      <c r="P7" s="56">
        <v>7653854</v>
      </c>
      <c r="Q7" s="56">
        <f>70097+60753+3576020</f>
        <v>3706870</v>
      </c>
      <c r="R7" s="56">
        <v>88983</v>
      </c>
      <c r="S7" s="56">
        <v>40881</v>
      </c>
      <c r="T7" s="56">
        <f>648594+1380+11902</f>
        <v>661876</v>
      </c>
      <c r="U7" s="56">
        <v>279575</v>
      </c>
      <c r="V7" s="41">
        <v>12127828</v>
      </c>
      <c r="W7" s="56">
        <f>3680387+460176+15519241</f>
        <v>19659804</v>
      </c>
      <c r="X7" s="56">
        <f>10630732+358611+917177</f>
        <v>11906520</v>
      </c>
      <c r="Y7" s="56">
        <v>110227</v>
      </c>
      <c r="Z7" s="56">
        <f>153780+19742+4556842</f>
        <v>4730364</v>
      </c>
      <c r="AA7" s="56">
        <v>406633</v>
      </c>
      <c r="AB7" s="56">
        <f>109770+13889+2200941</f>
        <v>2324600</v>
      </c>
      <c r="AC7" s="56">
        <v>2572522</v>
      </c>
      <c r="AD7" s="56">
        <v>5282003</v>
      </c>
      <c r="AE7" s="56">
        <v>817439</v>
      </c>
      <c r="AF7" s="56">
        <v>3171863</v>
      </c>
      <c r="AG7" s="56">
        <v>14792544</v>
      </c>
      <c r="AH7" s="56">
        <f>3031+82253+862042</f>
        <v>947326</v>
      </c>
      <c r="AI7" s="41">
        <f>B7+C7+D7+E8+F7+G7+H7+I7+J7+K7+L7+M7+N7+O7+P7+Q7+R7+S7+T7+U7+V7+W7+X7+Y7+Z7+AA7+AB7+AC7+AD7+AE7+AF7+AG7+AH7</f>
        <v>123225650.499</v>
      </c>
    </row>
    <row r="8" spans="1:35" s="12" customFormat="1" x14ac:dyDescent="0.25">
      <c r="A8" s="20" t="s">
        <v>35</v>
      </c>
      <c r="B8" s="54">
        <f t="shared" ref="B8:N8" si="0">SUM(B4:B7)</f>
        <v>-2889.7829999999994</v>
      </c>
      <c r="C8" s="54">
        <f t="shared" si="0"/>
        <v>1621123</v>
      </c>
      <c r="D8" s="54">
        <f t="shared" si="0"/>
        <v>21503115</v>
      </c>
      <c r="E8" s="54">
        <f t="shared" si="0"/>
        <v>13377055</v>
      </c>
      <c r="F8" s="54">
        <f t="shared" si="0"/>
        <v>69595215</v>
      </c>
      <c r="G8" s="54">
        <f t="shared" si="0"/>
        <v>14405134</v>
      </c>
      <c r="H8" s="54">
        <f t="shared" si="0"/>
        <v>1109088</v>
      </c>
      <c r="I8" s="54">
        <f t="shared" si="0"/>
        <v>2813138</v>
      </c>
      <c r="J8" s="54">
        <f t="shared" si="0"/>
        <v>460498</v>
      </c>
      <c r="K8" s="54">
        <f t="shared" si="0"/>
        <v>86</v>
      </c>
      <c r="L8" s="54">
        <f t="shared" si="0"/>
        <v>12704105</v>
      </c>
      <c r="M8" s="54">
        <f t="shared" si="0"/>
        <v>13417472</v>
      </c>
      <c r="N8" s="54">
        <f t="shared" si="0"/>
        <v>74650</v>
      </c>
      <c r="O8" s="54"/>
      <c r="P8" s="54">
        <f t="shared" ref="P8:W8" si="1">SUM(P4:P7)</f>
        <v>76580539</v>
      </c>
      <c r="Q8" s="54">
        <f t="shared" si="1"/>
        <v>36344663</v>
      </c>
      <c r="R8" s="54">
        <f t="shared" si="1"/>
        <v>1260578</v>
      </c>
      <c r="S8" s="54">
        <f t="shared" si="1"/>
        <v>73715</v>
      </c>
      <c r="T8" s="54">
        <f t="shared" si="1"/>
        <v>4064692</v>
      </c>
      <c r="U8" s="54">
        <f t="shared" si="1"/>
        <v>6058016</v>
      </c>
      <c r="V8" s="54">
        <f t="shared" si="1"/>
        <v>140542057.08804375</v>
      </c>
      <c r="W8" s="54">
        <f t="shared" si="1"/>
        <v>232541987</v>
      </c>
      <c r="X8" s="54">
        <f>SUM(X4:X7)</f>
        <v>126111012</v>
      </c>
      <c r="Y8" s="54">
        <f>SUM(Y4:Y7)</f>
        <v>716532</v>
      </c>
      <c r="Z8" s="54">
        <f>SUM(Z4:Z7)</f>
        <v>33728931</v>
      </c>
      <c r="AA8" s="54">
        <f>SUM(AA4:AA7)</f>
        <v>7234285</v>
      </c>
      <c r="AB8" s="54">
        <f t="shared" ref="AB8:AG8" si="2">SUM(AB4:AB7)</f>
        <v>22081726</v>
      </c>
      <c r="AC8" s="54">
        <f t="shared" si="2"/>
        <v>21248229</v>
      </c>
      <c r="AD8" s="54">
        <f t="shared" si="2"/>
        <v>25253394</v>
      </c>
      <c r="AE8" s="54">
        <f t="shared" si="2"/>
        <v>28283594</v>
      </c>
      <c r="AF8" s="54">
        <f t="shared" si="2"/>
        <v>37203036</v>
      </c>
      <c r="AG8" s="54">
        <f t="shared" si="2"/>
        <v>160051703</v>
      </c>
      <c r="AH8" s="54">
        <f>60136+685366+12245762</f>
        <v>12991264</v>
      </c>
      <c r="AI8" s="54">
        <f>B8+C8+D8+E9+F8+G8+H8+I8+J8+K8+L8+M8+N8+O8+P8+Q8+R8+S8+T8+U8+V8+W8+X8+Y8+Z8+AA8+AB8+AC8+AD8+AE8+AF8+AG8+AH8</f>
        <v>1117969438.3050437</v>
      </c>
    </row>
    <row r="9" spans="1:35" x14ac:dyDescent="0.25">
      <c r="A9" s="65" t="s">
        <v>36</v>
      </c>
      <c r="B9" s="56">
        <v>1015.009</v>
      </c>
      <c r="C9" s="56">
        <v>1353467</v>
      </c>
      <c r="D9" s="56">
        <v>18192295</v>
      </c>
      <c r="E9" s="56">
        <v>7898751</v>
      </c>
      <c r="F9" s="56">
        <v>40425732</v>
      </c>
      <c r="G9" s="56">
        <v>10067325</v>
      </c>
      <c r="H9" s="56">
        <v>125950</v>
      </c>
      <c r="I9" s="56">
        <v>1232013</v>
      </c>
      <c r="J9" s="56">
        <v>18243</v>
      </c>
      <c r="K9" s="56">
        <v>19</v>
      </c>
      <c r="L9" s="46">
        <v>11385882</v>
      </c>
      <c r="M9" s="56">
        <v>9142700</v>
      </c>
      <c r="N9" s="56">
        <v>70133</v>
      </c>
      <c r="O9" s="56"/>
      <c r="P9" s="56">
        <v>51465704</v>
      </c>
      <c r="Q9" s="56">
        <f>479064+314703+26033311</f>
        <v>26827078</v>
      </c>
      <c r="R9" s="56">
        <v>830304</v>
      </c>
      <c r="S9" s="56">
        <v>18530</v>
      </c>
      <c r="T9" s="56">
        <f>68354+5592+2700256</f>
        <v>2774202</v>
      </c>
      <c r="U9" s="56">
        <v>2890226</v>
      </c>
      <c r="V9" s="41">
        <v>128706777.10499999</v>
      </c>
      <c r="W9" s="56">
        <f>151599025+2261616+15104017</f>
        <v>168964658</v>
      </c>
      <c r="X9" s="41">
        <f>5095663+1609051+75507423</f>
        <v>82212137</v>
      </c>
      <c r="Y9" s="56">
        <v>460239</v>
      </c>
      <c r="Z9" s="56">
        <f>471531+62783+23657051</f>
        <v>24191365</v>
      </c>
      <c r="AA9" s="56">
        <v>3532103</v>
      </c>
      <c r="AB9" s="56">
        <f>15395287+74549+133894</f>
        <v>15603730</v>
      </c>
      <c r="AC9" s="56">
        <v>13164469</v>
      </c>
      <c r="AD9" s="56">
        <v>17389975</v>
      </c>
      <c r="AE9" s="56">
        <v>16920158</v>
      </c>
      <c r="AF9" s="56">
        <v>23660712</v>
      </c>
      <c r="AG9" s="56">
        <v>121378149</v>
      </c>
      <c r="AH9" s="56">
        <f>58720+171019+6510595</f>
        <v>6740334</v>
      </c>
      <c r="AI9" s="41">
        <f>B9+C9+D9+E9+F9+G9+H9+I9+J9+K9+L9+M9+N9+O9+P9+Q9+R9+S9+T9+U9+V9+W9+X4+Y9+Z9+AA9+AB9+AC9+AD9+AE9+AF9+AG9+AH9</f>
        <v>821712302.11399996</v>
      </c>
    </row>
    <row r="10" spans="1:35" x14ac:dyDescent="0.25">
      <c r="A10" s="65" t="s">
        <v>37</v>
      </c>
      <c r="B10" s="56">
        <v>-68.370999999999995</v>
      </c>
      <c r="C10" s="56">
        <v>189173</v>
      </c>
      <c r="D10" s="56">
        <v>-5405100</v>
      </c>
      <c r="E10" s="56">
        <v>1113914</v>
      </c>
      <c r="F10" s="56">
        <v>3180711</v>
      </c>
      <c r="G10" s="56">
        <v>614439</v>
      </c>
      <c r="H10" s="56">
        <v>7626</v>
      </c>
      <c r="I10" s="56">
        <v>375990</v>
      </c>
      <c r="J10" s="56">
        <v>-102975</v>
      </c>
      <c r="K10" s="56">
        <v>-5889</v>
      </c>
      <c r="L10" s="46">
        <v>-580997</v>
      </c>
      <c r="M10" s="56">
        <v>10396</v>
      </c>
      <c r="N10" s="56">
        <v>12579</v>
      </c>
      <c r="O10" s="56"/>
      <c r="P10" s="56">
        <v>-2605164</v>
      </c>
      <c r="Q10" s="56">
        <f>1195435-16065-48603</f>
        <v>1130767</v>
      </c>
      <c r="R10" s="56">
        <v>134093</v>
      </c>
      <c r="S10" s="56">
        <v>8687</v>
      </c>
      <c r="T10" s="56">
        <f>-62275-10985-45270</f>
        <v>-118530</v>
      </c>
      <c r="U10" s="56">
        <v>226727</v>
      </c>
      <c r="V10" s="41">
        <v>11003650.441000002</v>
      </c>
      <c r="W10" s="56">
        <f>2887397+566183+14786513</f>
        <v>18240093</v>
      </c>
      <c r="X10" s="56">
        <f>5196171+215142+960705</f>
        <v>6372018</v>
      </c>
      <c r="Y10" s="56">
        <v>51873</v>
      </c>
      <c r="Z10" s="56">
        <f>-41670+-40589+-493473</f>
        <v>-575732</v>
      </c>
      <c r="AA10" s="56">
        <v>-413167</v>
      </c>
      <c r="AB10" s="56">
        <f>10464+513935-2969</f>
        <v>521430</v>
      </c>
      <c r="AC10" s="56">
        <v>-1407600</v>
      </c>
      <c r="AD10" s="56">
        <v>566093</v>
      </c>
      <c r="AE10" s="56">
        <v>1365767</v>
      </c>
      <c r="AF10" s="56">
        <v>1545133</v>
      </c>
      <c r="AG10" s="56">
        <v>6675872</v>
      </c>
      <c r="AH10" s="56">
        <f>-10515+75798-604639</f>
        <v>-539356</v>
      </c>
      <c r="AI10" s="41">
        <f t="shared" ref="AI10:AI15" si="3">B10+C10+D10+E10+F10+G10+H10+I10+J10+K10+L10+M10+N10+O10+P10+Q10+R10+S10+T10+U10+V10+W10+X10+Y10+Z10+AA10+AB10+AC10+AD10+AE10+AF10+AG10+AH10</f>
        <v>41592453.07</v>
      </c>
    </row>
    <row r="11" spans="1:35" ht="30" x14ac:dyDescent="0.25">
      <c r="A11" s="65" t="s">
        <v>38</v>
      </c>
      <c r="B11" s="56">
        <v>139522.231</v>
      </c>
      <c r="C11" s="56">
        <v>2069364</v>
      </c>
      <c r="D11" s="56">
        <v>1634097</v>
      </c>
      <c r="E11" s="56">
        <v>3714679</v>
      </c>
      <c r="F11" s="56">
        <v>14051321</v>
      </c>
      <c r="G11" s="56">
        <v>3633400</v>
      </c>
      <c r="H11" s="56">
        <v>469505</v>
      </c>
      <c r="I11" s="56">
        <v>2282533</v>
      </c>
      <c r="J11" s="56">
        <v>645008</v>
      </c>
      <c r="K11" s="56">
        <v>130460</v>
      </c>
      <c r="L11" s="46">
        <v>1927846</v>
      </c>
      <c r="M11" s="56">
        <v>4155289</v>
      </c>
      <c r="N11" s="56">
        <v>824988</v>
      </c>
      <c r="O11" s="56"/>
      <c r="P11" s="56">
        <v>20280384</v>
      </c>
      <c r="Q11" s="56">
        <f>91501+115854+6929813</f>
        <v>7137168</v>
      </c>
      <c r="R11" s="56">
        <v>688296</v>
      </c>
      <c r="S11" s="56">
        <v>95538</v>
      </c>
      <c r="T11" s="56">
        <f>203877+54849+1259057</f>
        <v>1517783</v>
      </c>
      <c r="U11" s="56">
        <v>2917122</v>
      </c>
      <c r="V11" s="41">
        <v>28959007</v>
      </c>
      <c r="W11" s="56">
        <f>31294787+689505+3299998</f>
        <v>35284290</v>
      </c>
      <c r="X11" s="56">
        <f>2040155+295331+23758840</f>
        <v>26094326</v>
      </c>
      <c r="Y11" s="56">
        <v>260093</v>
      </c>
      <c r="Z11" s="56">
        <f>346884+16395+8530656</f>
        <v>8893935</v>
      </c>
      <c r="AA11" s="56">
        <v>4400816</v>
      </c>
      <c r="AB11" s="56">
        <f>5058281+47690+171189</f>
        <v>5277160</v>
      </c>
      <c r="AC11" s="56">
        <v>5718476</v>
      </c>
      <c r="AD11" s="56">
        <v>2287414</v>
      </c>
      <c r="AE11" s="56">
        <v>8613454</v>
      </c>
      <c r="AF11" s="56">
        <v>10884487</v>
      </c>
      <c r="AG11" s="56">
        <v>25978043</v>
      </c>
      <c r="AH11" s="56">
        <f>9898+96904+2765350</f>
        <v>2872152</v>
      </c>
      <c r="AI11" s="41">
        <f t="shared" si="3"/>
        <v>233837956.23100001</v>
      </c>
    </row>
    <row r="12" spans="1:35" x14ac:dyDescent="0.25">
      <c r="A12" s="65" t="s">
        <v>39</v>
      </c>
      <c r="B12" s="56"/>
      <c r="C12" s="56">
        <v>-37847</v>
      </c>
      <c r="D12" s="56"/>
      <c r="E12" s="56"/>
      <c r="F12" s="56">
        <v>44071</v>
      </c>
      <c r="G12" s="56">
        <v>10347</v>
      </c>
      <c r="H12" s="56"/>
      <c r="I12" s="56"/>
      <c r="J12" s="56">
        <v>114470</v>
      </c>
      <c r="K12" s="56"/>
      <c r="L12" s="46">
        <v>1210500</v>
      </c>
      <c r="M12" s="56"/>
      <c r="N12" s="56"/>
      <c r="O12" s="56"/>
      <c r="P12" s="56"/>
      <c r="Q12" s="56"/>
      <c r="R12" s="56"/>
      <c r="S12" s="56"/>
      <c r="T12" s="56">
        <f>3128-1361</f>
        <v>1767</v>
      </c>
      <c r="U12" s="56"/>
      <c r="V12" s="56"/>
      <c r="W12" s="56"/>
      <c r="X12" s="56">
        <v>-43947</v>
      </c>
      <c r="Y12" s="56">
        <v>-3200</v>
      </c>
      <c r="Z12" s="56"/>
      <c r="AA12" s="56"/>
      <c r="AB12" s="56"/>
      <c r="AC12" s="56"/>
      <c r="AD12" s="56"/>
      <c r="AE12" s="56"/>
      <c r="AF12" s="56"/>
      <c r="AG12" s="56"/>
      <c r="AH12" s="56"/>
      <c r="AI12" s="41">
        <f t="shared" si="3"/>
        <v>1296161</v>
      </c>
    </row>
    <row r="13" spans="1:35" x14ac:dyDescent="0.25">
      <c r="A13" s="65" t="s">
        <v>108</v>
      </c>
      <c r="B13" s="56"/>
      <c r="C13" s="56"/>
      <c r="D13" s="56"/>
      <c r="E13" s="56"/>
      <c r="F13" s="56">
        <v>20330</v>
      </c>
      <c r="G13" s="56">
        <v>3782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>
        <v>594</v>
      </c>
      <c r="S13" s="56"/>
      <c r="T13" s="56">
        <v>2632</v>
      </c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41">
        <f t="shared" si="3"/>
        <v>27338</v>
      </c>
    </row>
    <row r="14" spans="1:35" x14ac:dyDescent="0.25">
      <c r="A14" s="65" t="s">
        <v>153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41">
        <v>2379</v>
      </c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41">
        <f t="shared" si="3"/>
        <v>2379</v>
      </c>
    </row>
    <row r="15" spans="1:35" ht="90" x14ac:dyDescent="0.25">
      <c r="A15" s="65" t="s">
        <v>154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41">
        <v>189505</v>
      </c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41">
        <f t="shared" si="3"/>
        <v>189505</v>
      </c>
    </row>
    <row r="16" spans="1:35" x14ac:dyDescent="0.25">
      <c r="A16" s="65" t="s">
        <v>138</v>
      </c>
      <c r="B16" s="56"/>
      <c r="C16" s="56"/>
      <c r="D16" s="56">
        <f>2725+42344+7+2716+56</f>
        <v>47848</v>
      </c>
      <c r="E16" s="56"/>
      <c r="F16" s="56"/>
      <c r="G16" s="56">
        <v>5517</v>
      </c>
      <c r="H16" s="56"/>
      <c r="I16" s="56"/>
      <c r="J16" s="56"/>
      <c r="K16" s="56"/>
      <c r="L16" s="46">
        <v>61377</v>
      </c>
      <c r="M16" s="56"/>
      <c r="N16" s="56"/>
      <c r="O16" s="56"/>
      <c r="P16" s="56"/>
      <c r="Q16" s="56"/>
      <c r="R16" s="56"/>
      <c r="S16" s="56"/>
      <c r="T16" s="56"/>
      <c r="U16" s="56">
        <v>-1077713</v>
      </c>
      <c r="V16" s="56"/>
      <c r="W16" s="56">
        <f>4019+1930+325+1906+10940</f>
        <v>19120</v>
      </c>
      <c r="X16" s="56"/>
      <c r="Y16" s="56"/>
      <c r="Z16" s="56"/>
      <c r="AA16" s="56"/>
      <c r="AB16" s="56"/>
      <c r="AC16" s="56"/>
      <c r="AD16" s="56"/>
      <c r="AE16" s="56"/>
      <c r="AF16" s="56"/>
      <c r="AG16" s="41">
        <v>594130</v>
      </c>
      <c r="AH16" s="56">
        <v>3136</v>
      </c>
      <c r="AI16" s="41">
        <f>B16+C16+D16+E16+F16+G16+H16+I16+J16+K16+L16+M16+N16+O16+P16+Q16+R16+S16+T16+U16+V16+W16+X16+Y16+Z16+AA16+AB16+AC16+AD16+AE16+AF16+AG16+AH16</f>
        <v>-346585</v>
      </c>
    </row>
    <row r="17" spans="1:35" s="12" customFormat="1" x14ac:dyDescent="0.25">
      <c r="A17" s="20" t="s">
        <v>40</v>
      </c>
      <c r="B17" s="54">
        <f t="shared" ref="B17:N17" si="4">SUM(B9:B16)</f>
        <v>140468.86900000001</v>
      </c>
      <c r="C17" s="54">
        <f t="shared" si="4"/>
        <v>3574157</v>
      </c>
      <c r="D17" s="54">
        <f t="shared" si="4"/>
        <v>14469140</v>
      </c>
      <c r="E17" s="54">
        <f t="shared" si="4"/>
        <v>12727344</v>
      </c>
      <c r="F17" s="54">
        <f t="shared" si="4"/>
        <v>57722165</v>
      </c>
      <c r="G17" s="54">
        <f t="shared" si="4"/>
        <v>14334810</v>
      </c>
      <c r="H17" s="54">
        <f t="shared" si="4"/>
        <v>603081</v>
      </c>
      <c r="I17" s="54">
        <f t="shared" si="4"/>
        <v>3890536</v>
      </c>
      <c r="J17" s="54">
        <f t="shared" si="4"/>
        <v>674746</v>
      </c>
      <c r="K17" s="54">
        <f t="shared" si="4"/>
        <v>124590</v>
      </c>
      <c r="L17" s="54">
        <f t="shared" si="4"/>
        <v>14004608</v>
      </c>
      <c r="M17" s="54">
        <f t="shared" si="4"/>
        <v>13308385</v>
      </c>
      <c r="N17" s="54">
        <f t="shared" si="4"/>
        <v>907700</v>
      </c>
      <c r="O17" s="54"/>
      <c r="P17" s="54">
        <f t="shared" ref="P17:W17" si="5">SUM(P9:P16)</f>
        <v>69140924</v>
      </c>
      <c r="Q17" s="54">
        <f t="shared" si="5"/>
        <v>35095013</v>
      </c>
      <c r="R17" s="54">
        <f t="shared" si="5"/>
        <v>1653287</v>
      </c>
      <c r="S17" s="54">
        <f t="shared" si="5"/>
        <v>122755</v>
      </c>
      <c r="T17" s="54">
        <f t="shared" si="5"/>
        <v>4177854</v>
      </c>
      <c r="U17" s="54">
        <f t="shared" si="5"/>
        <v>4956362</v>
      </c>
      <c r="V17" s="54">
        <f t="shared" si="5"/>
        <v>168861318.546</v>
      </c>
      <c r="W17" s="54">
        <f t="shared" si="5"/>
        <v>222508161</v>
      </c>
      <c r="X17" s="54">
        <f>SUM(X9:X16)</f>
        <v>114634534</v>
      </c>
      <c r="Y17" s="54">
        <f>SUM(Y9:Y16)</f>
        <v>769005</v>
      </c>
      <c r="Z17" s="54">
        <f>SUM(Z9:Z16)</f>
        <v>32509568</v>
      </c>
      <c r="AA17" s="54">
        <f>SUM(AA9:AA16)</f>
        <v>7519752</v>
      </c>
      <c r="AB17" s="54">
        <f t="shared" ref="AB17:AG17" si="6">SUM(AB9:AB16)</f>
        <v>21402320</v>
      </c>
      <c r="AC17" s="54">
        <f t="shared" si="6"/>
        <v>17475345</v>
      </c>
      <c r="AD17" s="54">
        <f t="shared" si="6"/>
        <v>20243482</v>
      </c>
      <c r="AE17" s="54">
        <f t="shared" si="6"/>
        <v>26899379</v>
      </c>
      <c r="AF17" s="54">
        <f t="shared" si="6"/>
        <v>36090332</v>
      </c>
      <c r="AG17" s="21">
        <f t="shared" si="6"/>
        <v>154626194</v>
      </c>
      <c r="AH17" s="54">
        <f>58103+343721+8674442</f>
        <v>9076266</v>
      </c>
      <c r="AI17" s="21">
        <f>B17+C17+D17+E17+F17+G17+H17+I17+J17+K17+L17+M17+N17+O17+P17+Q17+R17+S17+T17+U17+V17+W17+X17+Y17+Z17+AA17+AB17+AC17+AD17+AE17+AF17+AG17+AH17</f>
        <v>1084243582.415</v>
      </c>
    </row>
    <row r="18" spans="1:35" s="12" customFormat="1" x14ac:dyDescent="0.25">
      <c r="A18" s="20" t="s">
        <v>41</v>
      </c>
      <c r="B18" s="54">
        <f t="shared" ref="B18:N18" si="7">B8-B17</f>
        <v>-143358.652</v>
      </c>
      <c r="C18" s="54">
        <f t="shared" si="7"/>
        <v>-1953034</v>
      </c>
      <c r="D18" s="54">
        <f t="shared" si="7"/>
        <v>7033975</v>
      </c>
      <c r="E18" s="54">
        <f t="shared" si="7"/>
        <v>649711</v>
      </c>
      <c r="F18" s="54">
        <f t="shared" si="7"/>
        <v>11873050</v>
      </c>
      <c r="G18" s="54">
        <f t="shared" si="7"/>
        <v>70324</v>
      </c>
      <c r="H18" s="54">
        <f t="shared" si="7"/>
        <v>506007</v>
      </c>
      <c r="I18" s="54">
        <f t="shared" si="7"/>
        <v>-1077398</v>
      </c>
      <c r="J18" s="54">
        <f t="shared" si="7"/>
        <v>-214248</v>
      </c>
      <c r="K18" s="54">
        <f t="shared" si="7"/>
        <v>-124504</v>
      </c>
      <c r="L18" s="54">
        <f t="shared" si="7"/>
        <v>-1300503</v>
      </c>
      <c r="M18" s="54">
        <f t="shared" si="7"/>
        <v>109087</v>
      </c>
      <c r="N18" s="54">
        <f t="shared" si="7"/>
        <v>-833050</v>
      </c>
      <c r="O18" s="54"/>
      <c r="P18" s="54">
        <f t="shared" ref="P18:X18" si="8">P8-P17</f>
        <v>7439615</v>
      </c>
      <c r="Q18" s="54">
        <f t="shared" si="8"/>
        <v>1249650</v>
      </c>
      <c r="R18" s="54">
        <f t="shared" si="8"/>
        <v>-392709</v>
      </c>
      <c r="S18" s="54">
        <f t="shared" si="8"/>
        <v>-49040</v>
      </c>
      <c r="T18" s="54">
        <f t="shared" si="8"/>
        <v>-113162</v>
      </c>
      <c r="U18" s="54">
        <f t="shared" si="8"/>
        <v>1101654</v>
      </c>
      <c r="V18" s="54">
        <f t="shared" si="8"/>
        <v>-28319261.457956254</v>
      </c>
      <c r="W18" s="54">
        <f t="shared" si="8"/>
        <v>10033826</v>
      </c>
      <c r="X18" s="54">
        <f t="shared" si="8"/>
        <v>11476478</v>
      </c>
      <c r="Y18" s="54">
        <f>Y8-Y17</f>
        <v>-52473</v>
      </c>
      <c r="Z18" s="54">
        <f>Z8-Z17</f>
        <v>1219363</v>
      </c>
      <c r="AA18" s="54">
        <f>AA8-AA17</f>
        <v>-285467</v>
      </c>
      <c r="AB18" s="54">
        <f t="shared" ref="AB18" si="9">AB8-AB17</f>
        <v>679406</v>
      </c>
      <c r="AC18" s="54">
        <f>AC8-AC17</f>
        <v>3772884</v>
      </c>
      <c r="AD18" s="54">
        <f>AD8-AD17</f>
        <v>5009912</v>
      </c>
      <c r="AE18" s="54">
        <f>AE8-AE17</f>
        <v>1384215</v>
      </c>
      <c r="AF18" s="54">
        <f>AF8-AF17</f>
        <v>1112704</v>
      </c>
      <c r="AG18" s="54">
        <f>AG8-AG17</f>
        <v>5425509</v>
      </c>
      <c r="AH18" s="54">
        <f>2033+341645+3571320</f>
        <v>3914998</v>
      </c>
      <c r="AI18" s="21">
        <f>B18+C18+D18+E18+F18+G18+H18+I18+J18+K18+L18+M18+N18+O18+P18+Q18+R18+S18+T18+U18+V18+W18+X18+Y18+Z18+AA18+AB18+AC18+AD18+AE18+AF18+AG18+AH18</f>
        <v>39204159.89004375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workbookViewId="0">
      <pane xSplit="1" ySplit="3" topLeftCell="B4" activePane="bottomRight" state="frozen"/>
      <selection activeCell="K84" sqref="K84"/>
      <selection pane="topRight" activeCell="K84" sqref="K84"/>
      <selection pane="bottomLeft" activeCell="K84" sqref="K84"/>
      <selection pane="bottomRight" activeCell="B2" sqref="B2"/>
    </sheetView>
  </sheetViews>
  <sheetFormatPr defaultRowHeight="15" x14ac:dyDescent="0.25"/>
  <cols>
    <col min="1" max="1" width="38.5703125" style="2" customWidth="1"/>
    <col min="2" max="35" width="16" customWidth="1"/>
  </cols>
  <sheetData>
    <row r="1" spans="1:35" ht="18.75" x14ac:dyDescent="0.3">
      <c r="A1" s="28" t="s">
        <v>155</v>
      </c>
    </row>
    <row r="2" spans="1:35" x14ac:dyDescent="0.25">
      <c r="A2" s="2" t="s">
        <v>42</v>
      </c>
    </row>
    <row r="3" spans="1:35" s="47" customFormat="1" x14ac:dyDescent="0.25">
      <c r="A3" s="48" t="s">
        <v>0</v>
      </c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  <c r="K3" s="45" t="s">
        <v>10</v>
      </c>
      <c r="L3" s="45" t="s">
        <v>11</v>
      </c>
      <c r="M3" s="45" t="s">
        <v>12</v>
      </c>
      <c r="N3" s="45" t="s">
        <v>13</v>
      </c>
      <c r="O3" s="45" t="s">
        <v>14</v>
      </c>
      <c r="P3" s="45" t="s">
        <v>15</v>
      </c>
      <c r="Q3" s="45" t="s">
        <v>16</v>
      </c>
      <c r="R3" s="45" t="s">
        <v>17</v>
      </c>
      <c r="S3" s="45" t="s">
        <v>18</v>
      </c>
      <c r="T3" s="45" t="s">
        <v>19</v>
      </c>
      <c r="U3" s="45" t="s">
        <v>20</v>
      </c>
      <c r="V3" s="45" t="s">
        <v>21</v>
      </c>
      <c r="W3" s="45" t="s">
        <v>109</v>
      </c>
      <c r="X3" s="45" t="s">
        <v>110</v>
      </c>
      <c r="Y3" s="45" t="s">
        <v>22</v>
      </c>
      <c r="Z3" s="45" t="s">
        <v>23</v>
      </c>
      <c r="AA3" s="45" t="s">
        <v>24</v>
      </c>
      <c r="AB3" s="45" t="s">
        <v>25</v>
      </c>
      <c r="AC3" s="45" t="s">
        <v>26</v>
      </c>
      <c r="AD3" s="45" t="s">
        <v>27</v>
      </c>
      <c r="AE3" s="45" t="s">
        <v>28</v>
      </c>
      <c r="AF3" s="45" t="s">
        <v>29</v>
      </c>
      <c r="AG3" s="45" t="s">
        <v>30</v>
      </c>
      <c r="AH3" s="45" t="s">
        <v>31</v>
      </c>
      <c r="AI3" s="45" t="s">
        <v>150</v>
      </c>
    </row>
    <row r="4" spans="1:35" s="1" customFormat="1" x14ac:dyDescent="0.25">
      <c r="A4" s="32" t="s">
        <v>76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1:35" x14ac:dyDescent="0.25">
      <c r="A5" s="151" t="s">
        <v>77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>
        <f>SUM(B5:AH5)</f>
        <v>0</v>
      </c>
    </row>
    <row r="6" spans="1:35" x14ac:dyDescent="0.25">
      <c r="A6" s="151" t="s">
        <v>78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>
        <f t="shared" ref="AI6:AI32" si="0">SUM(B6:AH6)</f>
        <v>0</v>
      </c>
    </row>
    <row r="7" spans="1:35" x14ac:dyDescent="0.25">
      <c r="A7" s="151" t="s">
        <v>79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36"/>
      <c r="P7" s="46"/>
      <c r="Q7" s="46"/>
      <c r="R7" s="46"/>
      <c r="S7" s="46"/>
      <c r="T7" s="46"/>
      <c r="U7" s="46"/>
      <c r="V7" s="46">
        <v>241294</v>
      </c>
      <c r="W7" s="46">
        <v>2154047</v>
      </c>
      <c r="X7" s="46"/>
      <c r="Y7" s="46"/>
      <c r="Z7" s="46"/>
      <c r="AA7" s="46"/>
      <c r="AB7" s="46"/>
      <c r="AC7" s="46"/>
      <c r="AD7" s="46"/>
      <c r="AE7" s="46"/>
      <c r="AF7" s="46"/>
      <c r="AG7" s="46">
        <v>1834365</v>
      </c>
      <c r="AH7" s="46"/>
      <c r="AI7" s="46">
        <f t="shared" si="0"/>
        <v>4229706</v>
      </c>
    </row>
    <row r="8" spans="1:35" x14ac:dyDescent="0.25">
      <c r="A8" s="151" t="s">
        <v>80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36"/>
      <c r="P8" s="46"/>
      <c r="Q8" s="46"/>
      <c r="R8" s="46"/>
      <c r="S8" s="46"/>
      <c r="T8" s="46"/>
      <c r="U8" s="46"/>
      <c r="V8" s="46"/>
      <c r="W8" s="46">
        <v>70</v>
      </c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>
        <f t="shared" si="0"/>
        <v>70</v>
      </c>
    </row>
    <row r="9" spans="1:35" x14ac:dyDescent="0.25">
      <c r="A9" s="151" t="s">
        <v>81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>
        <f t="shared" si="0"/>
        <v>0</v>
      </c>
    </row>
    <row r="10" spans="1:35" x14ac:dyDescent="0.25">
      <c r="A10" s="151" t="s">
        <v>143</v>
      </c>
      <c r="B10" s="46"/>
      <c r="C10" s="46"/>
      <c r="D10" s="46">
        <v>93899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>
        <v>1486399</v>
      </c>
      <c r="W10" s="46">
        <v>447264</v>
      </c>
      <c r="X10" s="46">
        <f>1003666+385995</f>
        <v>1389661</v>
      </c>
      <c r="Y10" s="46"/>
      <c r="Z10" s="46"/>
      <c r="AA10" s="46"/>
      <c r="AB10" s="46"/>
      <c r="AC10" s="46"/>
      <c r="AD10" s="46"/>
      <c r="AE10" s="46"/>
      <c r="AF10" s="46"/>
      <c r="AG10" s="46">
        <v>694796</v>
      </c>
      <c r="AH10" s="46"/>
      <c r="AI10" s="46">
        <f t="shared" si="0"/>
        <v>4112019</v>
      </c>
    </row>
    <row r="11" spans="1:35" x14ac:dyDescent="0.25">
      <c r="A11" s="151" t="s">
        <v>82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36"/>
      <c r="P11" s="46"/>
      <c r="Q11" s="46"/>
      <c r="R11" s="46"/>
      <c r="S11" s="46"/>
      <c r="T11" s="46"/>
      <c r="U11" s="46"/>
      <c r="V11" s="46">
        <v>178080</v>
      </c>
      <c r="W11" s="46"/>
      <c r="X11" s="46">
        <v>64299</v>
      </c>
      <c r="Y11" s="46"/>
      <c r="Z11" s="46"/>
      <c r="AA11" s="46"/>
      <c r="AB11" s="46"/>
      <c r="AC11" s="46"/>
      <c r="AD11" s="46"/>
      <c r="AE11" s="46"/>
      <c r="AF11" s="46"/>
      <c r="AG11" s="46">
        <v>120886</v>
      </c>
      <c r="AH11" s="46"/>
      <c r="AI11" s="46">
        <f t="shared" si="0"/>
        <v>363265</v>
      </c>
    </row>
    <row r="12" spans="1:35" s="29" customFormat="1" x14ac:dyDescent="0.25">
      <c r="A12" s="30" t="s">
        <v>60</v>
      </c>
      <c r="B12" s="31"/>
      <c r="C12" s="31"/>
      <c r="D12" s="31">
        <f>SUM(D4:D11)</f>
        <v>93899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7"/>
      <c r="P12" s="31"/>
      <c r="Q12" s="31"/>
      <c r="R12" s="31"/>
      <c r="S12" s="31"/>
      <c r="T12" s="31"/>
      <c r="U12" s="31"/>
      <c r="V12" s="31">
        <f>SUM(V5:V11)</f>
        <v>1905773</v>
      </c>
      <c r="W12" s="31">
        <f>SUM(W5:W11)</f>
        <v>2601381</v>
      </c>
      <c r="X12" s="31">
        <f>SUM(X5:X11)</f>
        <v>1453960</v>
      </c>
      <c r="Y12" s="31"/>
      <c r="Z12" s="31"/>
      <c r="AA12" s="31"/>
      <c r="AB12" s="31"/>
      <c r="AC12" s="31"/>
      <c r="AD12" s="31"/>
      <c r="AE12" s="31"/>
      <c r="AF12" s="31"/>
      <c r="AG12" s="31">
        <f>SUM(AG5:AG11)</f>
        <v>2650047</v>
      </c>
      <c r="AH12" s="31"/>
      <c r="AI12" s="31">
        <f t="shared" si="0"/>
        <v>8705060</v>
      </c>
    </row>
    <row r="13" spans="1:35" s="1" customFormat="1" x14ac:dyDescent="0.25">
      <c r="A13" s="32" t="s">
        <v>83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46"/>
    </row>
    <row r="14" spans="1:35" x14ac:dyDescent="0.25">
      <c r="A14" s="151" t="s">
        <v>84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>
        <v>113850</v>
      </c>
      <c r="W14" s="46">
        <v>447264</v>
      </c>
      <c r="X14" s="46">
        <v>294672</v>
      </c>
      <c r="Y14" s="46"/>
      <c r="Z14" s="46"/>
      <c r="AA14" s="46"/>
      <c r="AB14" s="46"/>
      <c r="AC14" s="46"/>
      <c r="AD14" s="46"/>
      <c r="AE14" s="46"/>
      <c r="AF14" s="46"/>
      <c r="AG14" s="46">
        <v>694796</v>
      </c>
      <c r="AH14" s="46"/>
      <c r="AI14" s="46">
        <f t="shared" si="0"/>
        <v>1550582</v>
      </c>
    </row>
    <row r="15" spans="1:35" x14ac:dyDescent="0.25">
      <c r="A15" s="151" t="s">
        <v>85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36"/>
      <c r="P15" s="46"/>
      <c r="Q15" s="46"/>
      <c r="R15" s="46"/>
      <c r="S15" s="46"/>
      <c r="T15" s="46"/>
      <c r="U15" s="46"/>
      <c r="V15" s="46"/>
      <c r="W15" s="46"/>
      <c r="X15" s="46">
        <v>0</v>
      </c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>
        <f t="shared" si="0"/>
        <v>0</v>
      </c>
    </row>
    <row r="16" spans="1:35" x14ac:dyDescent="0.25">
      <c r="A16" s="151" t="s">
        <v>86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36"/>
      <c r="P16" s="46"/>
      <c r="Q16" s="46"/>
      <c r="R16" s="46"/>
      <c r="S16" s="46"/>
      <c r="T16" s="46"/>
      <c r="U16" s="46"/>
      <c r="V16" s="46"/>
      <c r="W16" s="46"/>
      <c r="X16" s="46">
        <v>0</v>
      </c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>
        <f t="shared" si="0"/>
        <v>0</v>
      </c>
    </row>
    <row r="17" spans="1:35" x14ac:dyDescent="0.25">
      <c r="A17" s="151" t="s">
        <v>87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>
        <v>304886</v>
      </c>
      <c r="W17" s="46"/>
      <c r="X17" s="46">
        <v>155622</v>
      </c>
      <c r="Y17" s="46"/>
      <c r="Z17" s="46"/>
      <c r="AA17" s="46"/>
      <c r="AB17" s="46"/>
      <c r="AC17" s="46"/>
      <c r="AD17" s="46"/>
      <c r="AE17" s="46"/>
      <c r="AF17" s="46"/>
      <c r="AG17" s="46">
        <v>182179</v>
      </c>
      <c r="AH17" s="46"/>
      <c r="AI17" s="46">
        <f t="shared" si="0"/>
        <v>642687</v>
      </c>
    </row>
    <row r="18" spans="1:35" x14ac:dyDescent="0.25">
      <c r="A18" s="151" t="s">
        <v>88</v>
      </c>
      <c r="B18" s="46"/>
      <c r="C18" s="46"/>
      <c r="D18" s="46">
        <v>93899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>
        <v>1487037</v>
      </c>
      <c r="W18" s="46">
        <v>2154117</v>
      </c>
      <c r="X18" s="46">
        <v>1003666</v>
      </c>
      <c r="Y18" s="46"/>
      <c r="Z18" s="46"/>
      <c r="AA18" s="46"/>
      <c r="AB18" s="46"/>
      <c r="AC18" s="46"/>
      <c r="AD18" s="46"/>
      <c r="AE18" s="46"/>
      <c r="AF18" s="46"/>
      <c r="AG18" s="46">
        <v>1773072</v>
      </c>
      <c r="AH18" s="46"/>
      <c r="AI18" s="46">
        <f t="shared" si="0"/>
        <v>6511791</v>
      </c>
    </row>
    <row r="19" spans="1:35" s="29" customFormat="1" x14ac:dyDescent="0.25">
      <c r="A19" s="30" t="s">
        <v>60</v>
      </c>
      <c r="B19" s="31"/>
      <c r="C19" s="31"/>
      <c r="D19" s="31">
        <f>SUM(D14:D18)</f>
        <v>93899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>
        <f>SUM(V14:V18)</f>
        <v>1905773</v>
      </c>
      <c r="W19" s="31">
        <f>SUM(W14:W18)</f>
        <v>2601381</v>
      </c>
      <c r="X19" s="31">
        <f>SUM(X14:X18)</f>
        <v>1453960</v>
      </c>
      <c r="Y19" s="31"/>
      <c r="Z19" s="31"/>
      <c r="AA19" s="31"/>
      <c r="AB19" s="31"/>
      <c r="AC19" s="31"/>
      <c r="AD19" s="31"/>
      <c r="AE19" s="31"/>
      <c r="AF19" s="31"/>
      <c r="AG19" s="31">
        <f>SUM(AG14:AG18)</f>
        <v>2650047</v>
      </c>
      <c r="AH19" s="31"/>
      <c r="AI19" s="31">
        <f t="shared" si="0"/>
        <v>8705060</v>
      </c>
    </row>
    <row r="20" spans="1:35" s="1" customFormat="1" x14ac:dyDescent="0.25">
      <c r="A20" s="32" t="s">
        <v>89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46"/>
    </row>
    <row r="21" spans="1:35" x14ac:dyDescent="0.25">
      <c r="A21" s="151" t="s">
        <v>90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36"/>
      <c r="P21" s="46"/>
      <c r="Q21" s="46"/>
      <c r="R21" s="46"/>
      <c r="S21" s="46"/>
      <c r="T21" s="46"/>
      <c r="U21" s="46"/>
      <c r="V21" s="46">
        <v>1611894</v>
      </c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>
        <f t="shared" si="0"/>
        <v>1611894</v>
      </c>
    </row>
    <row r="22" spans="1:35" x14ac:dyDescent="0.25">
      <c r="A22" s="151" t="s">
        <v>79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>
        <v>2601311</v>
      </c>
      <c r="X22" s="46">
        <v>1310118</v>
      </c>
      <c r="Y22" s="46"/>
      <c r="Z22" s="46"/>
      <c r="AA22" s="46"/>
      <c r="AB22" s="46"/>
      <c r="AC22" s="46"/>
      <c r="AD22" s="46"/>
      <c r="AE22" s="46"/>
      <c r="AF22" s="46"/>
      <c r="AG22" s="46">
        <v>2482232</v>
      </c>
      <c r="AH22" s="46"/>
      <c r="AI22" s="46">
        <f t="shared" si="0"/>
        <v>6393661</v>
      </c>
    </row>
    <row r="23" spans="1:35" x14ac:dyDescent="0.25">
      <c r="A23" s="151" t="s">
        <v>80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>
        <v>70</v>
      </c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>
        <f t="shared" si="0"/>
        <v>70</v>
      </c>
    </row>
    <row r="24" spans="1:35" x14ac:dyDescent="0.25">
      <c r="A24" s="151" t="s">
        <v>91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>
        <f t="shared" si="0"/>
        <v>0</v>
      </c>
    </row>
    <row r="25" spans="1:35" x14ac:dyDescent="0.25">
      <c r="A25" s="151" t="s">
        <v>79</v>
      </c>
      <c r="B25" s="46"/>
      <c r="C25" s="46"/>
      <c r="D25" s="46">
        <v>93899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>
        <v>293879</v>
      </c>
      <c r="W25" s="46"/>
      <c r="X25" s="46">
        <v>452</v>
      </c>
      <c r="Y25" s="46"/>
      <c r="Z25" s="46"/>
      <c r="AA25" s="46"/>
      <c r="AB25" s="46"/>
      <c r="AC25" s="46"/>
      <c r="AD25" s="46"/>
      <c r="AE25" s="46"/>
      <c r="AF25" s="46"/>
      <c r="AG25" s="46">
        <v>167815</v>
      </c>
      <c r="AH25" s="46"/>
      <c r="AI25" s="46">
        <f t="shared" si="0"/>
        <v>556045</v>
      </c>
    </row>
    <row r="26" spans="1:35" x14ac:dyDescent="0.25">
      <c r="A26" s="151" t="s">
        <v>80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3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>
        <f t="shared" si="0"/>
        <v>0</v>
      </c>
    </row>
    <row r="27" spans="1:35" x14ac:dyDescent="0.25">
      <c r="A27" s="151" t="s">
        <v>124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36"/>
      <c r="P27" s="46"/>
      <c r="Q27" s="46"/>
      <c r="R27" s="46"/>
      <c r="S27" s="46"/>
      <c r="T27" s="46"/>
      <c r="U27" s="46"/>
      <c r="V27" s="46"/>
      <c r="W27" s="46"/>
      <c r="X27" s="46">
        <v>143390</v>
      </c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>
        <f t="shared" si="0"/>
        <v>143390</v>
      </c>
    </row>
    <row r="28" spans="1:35" s="29" customFormat="1" x14ac:dyDescent="0.25">
      <c r="A28" s="30" t="s">
        <v>60</v>
      </c>
      <c r="B28" s="31"/>
      <c r="C28" s="31"/>
      <c r="D28" s="31">
        <f>SUM(D21:D27)</f>
        <v>93899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>
        <f>SUM(V21:V27)</f>
        <v>1905773</v>
      </c>
      <c r="W28" s="31">
        <f>SUM(W21:W27)</f>
        <v>2601381</v>
      </c>
      <c r="X28" s="31">
        <f>SUM(X22:X27)</f>
        <v>1453960</v>
      </c>
      <c r="Y28" s="31"/>
      <c r="Z28" s="31"/>
      <c r="AA28" s="31"/>
      <c r="AB28" s="31"/>
      <c r="AC28" s="31"/>
      <c r="AD28" s="31"/>
      <c r="AE28" s="31"/>
      <c r="AF28" s="31"/>
      <c r="AG28" s="31">
        <f>SUM(AG22:AG27)</f>
        <v>2650047</v>
      </c>
      <c r="AH28" s="31"/>
      <c r="AI28" s="31">
        <f t="shared" si="0"/>
        <v>8705060</v>
      </c>
    </row>
    <row r="29" spans="1:35" s="1" customFormat="1" x14ac:dyDescent="0.25">
      <c r="A29" s="32" t="s">
        <v>92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6"/>
    </row>
    <row r="30" spans="1:35" x14ac:dyDescent="0.25">
      <c r="A30" s="151" t="s">
        <v>93</v>
      </c>
      <c r="B30" s="46"/>
      <c r="C30" s="46"/>
      <c r="D30" s="46">
        <v>3972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>
        <v>4808</v>
      </c>
      <c r="W30" s="46">
        <v>89592</v>
      </c>
      <c r="X30" s="46">
        <v>54270</v>
      </c>
      <c r="Y30" s="46"/>
      <c r="Z30" s="46"/>
      <c r="AA30" s="46"/>
      <c r="AB30" s="46"/>
      <c r="AC30" s="46"/>
      <c r="AD30" s="46"/>
      <c r="AE30" s="46"/>
      <c r="AF30" s="46"/>
      <c r="AG30" s="46">
        <v>114515</v>
      </c>
      <c r="AH30" s="46"/>
      <c r="AI30" s="46">
        <f t="shared" si="0"/>
        <v>267157</v>
      </c>
    </row>
    <row r="31" spans="1:35" x14ac:dyDescent="0.25">
      <c r="A31" s="151" t="s">
        <v>94</v>
      </c>
      <c r="B31" s="46"/>
      <c r="C31" s="46"/>
      <c r="D31" s="46">
        <v>89927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>
        <v>1900965</v>
      </c>
      <c r="W31" s="46">
        <v>2511789</v>
      </c>
      <c r="X31" s="46">
        <v>1399690</v>
      </c>
      <c r="Y31" s="46"/>
      <c r="Z31" s="46"/>
      <c r="AA31" s="46"/>
      <c r="AB31" s="46"/>
      <c r="AC31" s="46"/>
      <c r="AD31" s="46"/>
      <c r="AE31" s="46"/>
      <c r="AF31" s="46"/>
      <c r="AG31" s="46">
        <v>2535532</v>
      </c>
      <c r="AH31" s="46"/>
      <c r="AI31" s="46">
        <f t="shared" si="0"/>
        <v>8437903</v>
      </c>
    </row>
    <row r="32" spans="1:35" s="29" customFormat="1" x14ac:dyDescent="0.25">
      <c r="A32" s="30" t="s">
        <v>60</v>
      </c>
      <c r="B32" s="31"/>
      <c r="C32" s="31"/>
      <c r="D32" s="31">
        <f>SUM(D30:D31)</f>
        <v>93899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>
        <f>SUM(V30:V31)</f>
        <v>1905773</v>
      </c>
      <c r="W32" s="31">
        <f>SUM(W30:W31)</f>
        <v>2601381</v>
      </c>
      <c r="X32" s="31">
        <f>SUM(X30:X31)</f>
        <v>1453960</v>
      </c>
      <c r="Y32" s="31"/>
      <c r="Z32" s="31"/>
      <c r="AA32" s="31"/>
      <c r="AB32" s="31"/>
      <c r="AC32" s="31"/>
      <c r="AD32" s="31"/>
      <c r="AE32" s="31"/>
      <c r="AF32" s="31"/>
      <c r="AG32" s="31">
        <f>SUM(AG30:AG31)</f>
        <v>2650047</v>
      </c>
      <c r="AH32" s="31"/>
      <c r="AI32" s="31">
        <f t="shared" si="0"/>
        <v>8705060</v>
      </c>
    </row>
    <row r="33" spans="15:15" x14ac:dyDescent="0.25">
      <c r="O33" s="15"/>
    </row>
    <row r="34" spans="15:15" x14ac:dyDescent="0.25">
      <c r="O34" s="3"/>
    </row>
    <row r="35" spans="15:15" x14ac:dyDescent="0.25">
      <c r="O35" s="15"/>
    </row>
    <row r="36" spans="15:15" x14ac:dyDescent="0.25">
      <c r="O36" s="3"/>
    </row>
    <row r="37" spans="15:15" x14ac:dyDescent="0.25">
      <c r="O37" s="15"/>
    </row>
    <row r="38" spans="15:15" x14ac:dyDescent="0.25">
      <c r="O38" s="3"/>
    </row>
    <row r="39" spans="15:15" x14ac:dyDescent="0.25">
      <c r="O39" s="3"/>
    </row>
    <row r="40" spans="15:15" x14ac:dyDescent="0.25">
      <c r="O40" s="3"/>
    </row>
    <row r="41" spans="15:15" x14ac:dyDescent="0.25">
      <c r="O41" s="3"/>
    </row>
    <row r="42" spans="15:15" x14ac:dyDescent="0.25">
      <c r="O42" s="15"/>
    </row>
    <row r="43" spans="15:15" x14ac:dyDescent="0.25">
      <c r="O43" s="15"/>
    </row>
    <row r="44" spans="15:15" x14ac:dyDescent="0.25">
      <c r="O44" s="3"/>
    </row>
    <row r="45" spans="15:15" x14ac:dyDescent="0.25">
      <c r="O45" s="16"/>
    </row>
    <row r="46" spans="15:15" x14ac:dyDescent="0.25">
      <c r="O46" s="3"/>
    </row>
    <row r="47" spans="15:15" x14ac:dyDescent="0.25">
      <c r="O47" s="3"/>
    </row>
    <row r="48" spans="15:15" x14ac:dyDescent="0.25">
      <c r="O48" s="3"/>
    </row>
    <row r="49" spans="15:15" x14ac:dyDescent="0.25">
      <c r="O49" s="3"/>
    </row>
    <row r="50" spans="15:15" x14ac:dyDescent="0.25">
      <c r="O50" s="3"/>
    </row>
    <row r="51" spans="15:15" x14ac:dyDescent="0.25">
      <c r="O51" s="13">
        <v>18168181</v>
      </c>
    </row>
    <row r="52" spans="15:15" x14ac:dyDescent="0.25">
      <c r="O52" s="13">
        <v>6100204</v>
      </c>
    </row>
    <row r="53" spans="15:15" x14ac:dyDescent="0.25">
      <c r="O53" s="3"/>
    </row>
    <row r="54" spans="15:15" x14ac:dyDescent="0.25">
      <c r="O54" s="3"/>
    </row>
    <row r="55" spans="15:15" x14ac:dyDescent="0.25">
      <c r="O55" s="13">
        <v>2600514</v>
      </c>
    </row>
    <row r="56" spans="15:15" x14ac:dyDescent="0.25">
      <c r="O56" s="13">
        <v>53757</v>
      </c>
    </row>
    <row r="57" spans="15:15" x14ac:dyDescent="0.25">
      <c r="O57" s="3"/>
    </row>
    <row r="58" spans="15:15" x14ac:dyDescent="0.25">
      <c r="O58" s="3"/>
    </row>
    <row r="59" spans="15:15" x14ac:dyDescent="0.25">
      <c r="O59" s="13">
        <v>10704856</v>
      </c>
    </row>
    <row r="60" spans="15:15" x14ac:dyDescent="0.25">
      <c r="O60" s="3"/>
    </row>
    <row r="61" spans="15:15" x14ac:dyDescent="0.25">
      <c r="O61" s="13">
        <v>336110</v>
      </c>
    </row>
    <row r="62" spans="15:15" x14ac:dyDescent="0.25">
      <c r="O62" s="3"/>
    </row>
    <row r="63" spans="15:15" x14ac:dyDescent="0.25">
      <c r="O63" s="3"/>
    </row>
    <row r="64" spans="15:15" x14ac:dyDescent="0.25">
      <c r="O64" s="3"/>
    </row>
    <row r="65" spans="15:15" x14ac:dyDescent="0.25">
      <c r="O65" s="13">
        <v>17948264</v>
      </c>
    </row>
    <row r="66" spans="15:15" x14ac:dyDescent="0.25">
      <c r="O66" s="3">
        <v>973343</v>
      </c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13">
        <v>1375959</v>
      </c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13">
        <v>2335077</v>
      </c>
    </row>
    <row r="77" spans="15:15" x14ac:dyDescent="0.25">
      <c r="O77" s="3"/>
    </row>
    <row r="78" spans="15:15" x14ac:dyDescent="0.25">
      <c r="O78" s="13">
        <v>1487508</v>
      </c>
    </row>
    <row r="79" spans="15:15" x14ac:dyDescent="0.25">
      <c r="O79" s="3"/>
    </row>
    <row r="80" spans="15:15" x14ac:dyDescent="0.25">
      <c r="O80" s="13">
        <v>1413880</v>
      </c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13">
        <v>4376443</v>
      </c>
    </row>
    <row r="86" spans="15:15" x14ac:dyDescent="0.25">
      <c r="O86" s="13">
        <v>418995</v>
      </c>
    </row>
    <row r="88" spans="15:15" x14ac:dyDescent="0.25">
      <c r="O88" s="17">
        <v>68293089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workbookViewId="0">
      <pane xSplit="1" ySplit="3" topLeftCell="V4" activePane="bottomRight" state="frozen"/>
      <selection activeCell="K84" sqref="K84"/>
      <selection pane="topRight" activeCell="K84" sqref="K84"/>
      <selection pane="bottomLeft" activeCell="K84" sqref="K84"/>
      <selection pane="bottomRight" activeCell="X17" sqref="X17"/>
    </sheetView>
  </sheetViews>
  <sheetFormatPr defaultRowHeight="15" x14ac:dyDescent="0.25"/>
  <cols>
    <col min="1" max="1" width="31.140625" style="6" customWidth="1"/>
    <col min="2" max="35" width="16" style="4" customWidth="1"/>
    <col min="36" max="16384" width="9.140625" style="4"/>
  </cols>
  <sheetData>
    <row r="1" spans="1:35" ht="18.75" x14ac:dyDescent="0.3">
      <c r="A1" s="38" t="s">
        <v>190</v>
      </c>
    </row>
    <row r="2" spans="1:35" x14ac:dyDescent="0.25">
      <c r="A2" s="6" t="s">
        <v>42</v>
      </c>
    </row>
    <row r="3" spans="1:35" s="19" customFormat="1" x14ac:dyDescent="0.25">
      <c r="A3" s="23" t="s">
        <v>0</v>
      </c>
      <c r="B3" s="130" t="s">
        <v>1</v>
      </c>
      <c r="C3" s="130" t="s">
        <v>2</v>
      </c>
      <c r="D3" s="130" t="s">
        <v>3</v>
      </c>
      <c r="E3" s="130" t="s">
        <v>4</v>
      </c>
      <c r="F3" s="130" t="s">
        <v>5</v>
      </c>
      <c r="G3" s="130" t="s">
        <v>6</v>
      </c>
      <c r="H3" s="130" t="s">
        <v>7</v>
      </c>
      <c r="I3" s="130" t="s">
        <v>8</v>
      </c>
      <c r="J3" s="130" t="s">
        <v>9</v>
      </c>
      <c r="K3" s="130" t="s">
        <v>10</v>
      </c>
      <c r="L3" s="130" t="s">
        <v>11</v>
      </c>
      <c r="M3" s="130" t="s">
        <v>12</v>
      </c>
      <c r="N3" s="130" t="s">
        <v>13</v>
      </c>
      <c r="O3" s="130" t="s">
        <v>14</v>
      </c>
      <c r="P3" s="130" t="s">
        <v>15</v>
      </c>
      <c r="Q3" s="130" t="s">
        <v>16</v>
      </c>
      <c r="R3" s="130" t="s">
        <v>17</v>
      </c>
      <c r="S3" s="130" t="s">
        <v>18</v>
      </c>
      <c r="T3" s="130" t="s">
        <v>19</v>
      </c>
      <c r="U3" s="130" t="s">
        <v>20</v>
      </c>
      <c r="V3" s="130" t="s">
        <v>21</v>
      </c>
      <c r="W3" s="130" t="s">
        <v>109</v>
      </c>
      <c r="X3" s="130" t="s">
        <v>110</v>
      </c>
      <c r="Y3" s="130" t="s">
        <v>22</v>
      </c>
      <c r="Z3" s="130" t="s">
        <v>23</v>
      </c>
      <c r="AA3" s="130" t="s">
        <v>24</v>
      </c>
      <c r="AB3" s="130" t="s">
        <v>25</v>
      </c>
      <c r="AC3" s="130" t="s">
        <v>26</v>
      </c>
      <c r="AD3" s="130" t="s">
        <v>27</v>
      </c>
      <c r="AE3" s="130" t="s">
        <v>28</v>
      </c>
      <c r="AF3" s="130" t="s">
        <v>29</v>
      </c>
      <c r="AG3" s="130" t="s">
        <v>30</v>
      </c>
      <c r="AH3" s="130" t="s">
        <v>31</v>
      </c>
      <c r="AI3" s="130" t="s">
        <v>150</v>
      </c>
    </row>
    <row r="4" spans="1:35" x14ac:dyDescent="0.25">
      <c r="A4" s="65" t="s">
        <v>191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>
        <v>277425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>
        <f>SUM(B4:AH4)</f>
        <v>277425</v>
      </c>
    </row>
    <row r="5" spans="1:35" x14ac:dyDescent="0.25">
      <c r="A5" s="65" t="s">
        <v>192</v>
      </c>
      <c r="B5" s="41">
        <v>2694.8339999999998</v>
      </c>
      <c r="C5" s="41">
        <v>159610</v>
      </c>
      <c r="D5" s="41">
        <v>73485</v>
      </c>
      <c r="E5" s="41">
        <f>140377+3282</f>
        <v>143659</v>
      </c>
      <c r="F5" s="41">
        <v>70122</v>
      </c>
      <c r="G5" s="41">
        <v>45340</v>
      </c>
      <c r="H5" s="41">
        <v>163269</v>
      </c>
      <c r="I5" s="41">
        <v>50266</v>
      </c>
      <c r="J5" s="41">
        <v>197429</v>
      </c>
      <c r="K5" s="41">
        <v>2234</v>
      </c>
      <c r="L5" s="46">
        <v>7855.95</v>
      </c>
      <c r="M5" s="41"/>
      <c r="N5" s="41">
        <v>17031</v>
      </c>
      <c r="O5" s="41">
        <v>258832</v>
      </c>
      <c r="P5" s="41">
        <v>713369</v>
      </c>
      <c r="Q5" s="41">
        <v>70032</v>
      </c>
      <c r="R5" s="41">
        <v>61350</v>
      </c>
      <c r="S5" s="41">
        <v>145810</v>
      </c>
      <c r="T5" s="41">
        <v>117306</v>
      </c>
      <c r="U5" s="41">
        <f>234617+38</f>
        <v>234655</v>
      </c>
      <c r="V5" s="41">
        <v>182717.64837999962</v>
      </c>
      <c r="W5" s="41">
        <v>988346</v>
      </c>
      <c r="X5" s="46">
        <v>147366</v>
      </c>
      <c r="Y5" s="41">
        <v>6151</v>
      </c>
      <c r="Z5" s="41">
        <v>117993</v>
      </c>
      <c r="AA5" s="41">
        <v>345177</v>
      </c>
      <c r="AB5" s="41">
        <v>48045</v>
      </c>
      <c r="AC5" s="41">
        <v>193976</v>
      </c>
      <c r="AD5" s="41">
        <v>17127</v>
      </c>
      <c r="AE5" s="41">
        <v>354089</v>
      </c>
      <c r="AF5" s="41">
        <v>312298</v>
      </c>
      <c r="AG5" s="46">
        <v>148123</v>
      </c>
      <c r="AH5" s="41">
        <v>39038</v>
      </c>
      <c r="AI5" s="41">
        <f t="shared" ref="AI5:AI15" si="0">SUM(B5:AH5)</f>
        <v>5434796.4323800001</v>
      </c>
    </row>
    <row r="6" spans="1:35" x14ac:dyDescent="0.25">
      <c r="A6" s="65" t="s">
        <v>193</v>
      </c>
      <c r="B6" s="41"/>
      <c r="C6" s="41"/>
      <c r="D6" s="41"/>
      <c r="E6" s="41"/>
      <c r="F6" s="41"/>
      <c r="G6" s="41"/>
      <c r="H6" s="41">
        <v>58032</v>
      </c>
      <c r="I6" s="41"/>
      <c r="J6" s="41"/>
      <c r="K6" s="41"/>
      <c r="L6" s="46">
        <v>748152.33</v>
      </c>
      <c r="M6" s="41"/>
      <c r="N6" s="41"/>
      <c r="O6" s="41"/>
      <c r="P6" s="41">
        <v>2411770</v>
      </c>
      <c r="Q6" s="41">
        <v>37849</v>
      </c>
      <c r="R6" s="41"/>
      <c r="S6" s="41"/>
      <c r="T6" s="41"/>
      <c r="U6" s="41"/>
      <c r="V6" s="41">
        <v>6452.2661900000003</v>
      </c>
      <c r="W6" s="152">
        <v>76116</v>
      </c>
      <c r="X6" s="46">
        <v>1109</v>
      </c>
      <c r="Y6" s="41"/>
      <c r="Z6" s="41"/>
      <c r="AA6" s="41"/>
      <c r="AB6" s="41"/>
      <c r="AC6" s="41"/>
      <c r="AD6" s="41"/>
      <c r="AE6" s="41">
        <v>75600</v>
      </c>
      <c r="AF6" s="41">
        <v>71075</v>
      </c>
      <c r="AG6" s="46">
        <v>77209</v>
      </c>
      <c r="AH6" s="41"/>
      <c r="AI6" s="41">
        <f t="shared" si="0"/>
        <v>3563364.59619</v>
      </c>
    </row>
    <row r="7" spans="1:35" x14ac:dyDescent="0.25">
      <c r="A7" s="65" t="s">
        <v>194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6">
        <v>53937.55</v>
      </c>
      <c r="M7" s="41"/>
      <c r="N7" s="41"/>
      <c r="O7" s="41">
        <v>1425</v>
      </c>
      <c r="P7" s="41"/>
      <c r="Q7" s="41"/>
      <c r="R7" s="41"/>
      <c r="S7" s="41"/>
      <c r="T7" s="41"/>
      <c r="U7" s="41">
        <v>27828</v>
      </c>
      <c r="V7" s="41">
        <v>298947.74927000003</v>
      </c>
      <c r="W7" s="152">
        <v>271907</v>
      </c>
      <c r="X7" s="46">
        <v>97884</v>
      </c>
      <c r="Y7" s="41"/>
      <c r="Z7" s="41"/>
      <c r="AA7" s="41"/>
      <c r="AB7" s="41"/>
      <c r="AC7" s="41"/>
      <c r="AD7" s="41">
        <v>217338</v>
      </c>
      <c r="AE7" s="41"/>
      <c r="AF7" s="41"/>
      <c r="AG7" s="46">
        <v>35586</v>
      </c>
      <c r="AH7" s="41"/>
      <c r="AI7" s="41">
        <f t="shared" si="0"/>
        <v>1004853.2992700001</v>
      </c>
    </row>
    <row r="8" spans="1:35" x14ac:dyDescent="0.25">
      <c r="A8" s="65" t="s">
        <v>330</v>
      </c>
      <c r="B8" s="41"/>
      <c r="C8" s="41"/>
      <c r="D8" s="41"/>
      <c r="E8" s="41"/>
      <c r="F8" s="41">
        <v>51151</v>
      </c>
      <c r="G8" s="41">
        <v>11347</v>
      </c>
      <c r="H8" s="41"/>
      <c r="I8" s="41">
        <v>3658</v>
      </c>
      <c r="J8" s="41"/>
      <c r="K8" s="41"/>
      <c r="L8" s="41"/>
      <c r="M8" s="41">
        <v>125116</v>
      </c>
      <c r="N8" s="41">
        <v>124</v>
      </c>
      <c r="O8" s="41"/>
      <c r="P8" s="41"/>
      <c r="Q8" s="41"/>
      <c r="R8" s="41">
        <v>2630</v>
      </c>
      <c r="S8" s="41">
        <v>17954</v>
      </c>
      <c r="T8" s="41">
        <v>11225</v>
      </c>
      <c r="U8" s="41"/>
      <c r="V8" s="41"/>
      <c r="W8" s="41"/>
      <c r="X8" s="41"/>
      <c r="Y8" s="41">
        <v>569</v>
      </c>
      <c r="Z8" s="41">
        <v>23641</v>
      </c>
      <c r="AA8" s="41">
        <v>12191</v>
      </c>
      <c r="AB8" s="41">
        <v>91716</v>
      </c>
      <c r="AC8" s="41">
        <v>52405</v>
      </c>
      <c r="AD8" s="41">
        <v>20708</v>
      </c>
      <c r="AE8" s="41"/>
      <c r="AF8" s="41">
        <v>45741</v>
      </c>
      <c r="AG8" s="46">
        <v>46911</v>
      </c>
      <c r="AH8" s="41">
        <v>6478</v>
      </c>
      <c r="AI8" s="41">
        <f t="shared" si="0"/>
        <v>523565</v>
      </c>
    </row>
    <row r="9" spans="1:35" x14ac:dyDescent="0.25">
      <c r="A9" s="65" t="s">
        <v>195</v>
      </c>
      <c r="B9" s="41"/>
      <c r="C9" s="41"/>
      <c r="D9" s="41">
        <v>298645</v>
      </c>
      <c r="E9" s="41"/>
      <c r="F9" s="41">
        <v>2347347</v>
      </c>
      <c r="G9" s="41"/>
      <c r="H9" s="41">
        <v>328654</v>
      </c>
      <c r="I9" s="41"/>
      <c r="J9" s="41"/>
      <c r="K9" s="41"/>
      <c r="L9" s="46">
        <v>298525.27</v>
      </c>
      <c r="M9" s="41"/>
      <c r="N9" s="41"/>
      <c r="O9" s="41">
        <v>1174744</v>
      </c>
      <c r="P9" s="41">
        <v>185477</v>
      </c>
      <c r="Q9" s="41">
        <v>10641</v>
      </c>
      <c r="R9" s="41"/>
      <c r="S9" s="41"/>
      <c r="T9" s="41"/>
      <c r="U9" s="41"/>
      <c r="V9" s="41">
        <v>725738.73148000007</v>
      </c>
      <c r="W9" s="153">
        <v>979160</v>
      </c>
      <c r="X9" s="46">
        <v>624324</v>
      </c>
      <c r="Y9" s="41">
        <v>504</v>
      </c>
      <c r="Z9" s="41"/>
      <c r="AA9" s="41"/>
      <c r="AB9" s="41"/>
      <c r="AC9" s="41"/>
      <c r="AD9" s="41">
        <v>151499</v>
      </c>
      <c r="AE9" s="41"/>
      <c r="AF9" s="41">
        <v>801854</v>
      </c>
      <c r="AG9" s="46">
        <v>386263</v>
      </c>
      <c r="AH9" s="41"/>
      <c r="AI9" s="41">
        <f t="shared" si="0"/>
        <v>8313376.0014800001</v>
      </c>
    </row>
    <row r="10" spans="1:35" x14ac:dyDescent="0.25">
      <c r="A10" s="65" t="s">
        <v>196</v>
      </c>
      <c r="B10" s="41">
        <v>1713.7860000000001</v>
      </c>
      <c r="C10" s="41">
        <v>8006</v>
      </c>
      <c r="D10" s="41">
        <v>9170</v>
      </c>
      <c r="E10" s="41">
        <v>19326</v>
      </c>
      <c r="F10" s="41">
        <v>152945</v>
      </c>
      <c r="G10" s="41">
        <v>3860</v>
      </c>
      <c r="H10" s="41">
        <v>3838</v>
      </c>
      <c r="I10" s="41">
        <v>374</v>
      </c>
      <c r="J10" s="41"/>
      <c r="K10" s="41"/>
      <c r="L10" s="46">
        <v>31652.29</v>
      </c>
      <c r="M10" s="41">
        <v>39384</v>
      </c>
      <c r="N10" s="41"/>
      <c r="O10" s="41">
        <v>197477</v>
      </c>
      <c r="P10" s="41">
        <v>92883</v>
      </c>
      <c r="Q10" s="41">
        <v>86050</v>
      </c>
      <c r="R10" s="41">
        <v>35</v>
      </c>
      <c r="S10" s="41">
        <v>1243</v>
      </c>
      <c r="T10" s="41">
        <v>468</v>
      </c>
      <c r="U10" s="41">
        <v>3286</v>
      </c>
      <c r="V10" s="41">
        <v>119592.45679305214</v>
      </c>
      <c r="W10" s="153">
        <v>225867</v>
      </c>
      <c r="X10" s="46">
        <v>81995</v>
      </c>
      <c r="Y10" s="41"/>
      <c r="Z10" s="41">
        <v>15275</v>
      </c>
      <c r="AA10" s="41">
        <v>907</v>
      </c>
      <c r="AB10" s="41">
        <v>11579</v>
      </c>
      <c r="AC10" s="41">
        <v>5021</v>
      </c>
      <c r="AD10" s="41">
        <v>27037</v>
      </c>
      <c r="AE10" s="41">
        <v>171781</v>
      </c>
      <c r="AF10" s="41">
        <v>15323</v>
      </c>
      <c r="AG10" s="46">
        <v>73824</v>
      </c>
      <c r="AH10" s="41">
        <v>24725</v>
      </c>
      <c r="AI10" s="41">
        <f t="shared" si="0"/>
        <v>1424637.532793052</v>
      </c>
    </row>
    <row r="11" spans="1:35" x14ac:dyDescent="0.25">
      <c r="A11" s="65" t="s">
        <v>197</v>
      </c>
      <c r="B11" s="41">
        <v>3908.962</v>
      </c>
      <c r="C11" s="41">
        <v>80283</v>
      </c>
      <c r="D11" s="41">
        <v>25756</v>
      </c>
      <c r="E11" s="41">
        <v>80920</v>
      </c>
      <c r="F11" s="41">
        <v>307459</v>
      </c>
      <c r="G11" s="41">
        <v>123568</v>
      </c>
      <c r="H11" s="41">
        <v>75413</v>
      </c>
      <c r="I11" s="41">
        <v>8884</v>
      </c>
      <c r="J11" s="41">
        <v>168771</v>
      </c>
      <c r="K11" s="41">
        <v>2064</v>
      </c>
      <c r="L11" s="46">
        <v>16337.96</v>
      </c>
      <c r="M11" s="41">
        <v>184135</v>
      </c>
      <c r="N11" s="41">
        <v>30042</v>
      </c>
      <c r="O11" s="41">
        <v>216804</v>
      </c>
      <c r="P11" s="41">
        <v>42142</v>
      </c>
      <c r="Q11" s="41">
        <v>91521</v>
      </c>
      <c r="R11" s="41">
        <v>24852</v>
      </c>
      <c r="S11" s="41">
        <v>39872</v>
      </c>
      <c r="T11" s="41">
        <v>19741</v>
      </c>
      <c r="U11" s="41">
        <f>47203+38779</f>
        <v>85982</v>
      </c>
      <c r="V11" s="41">
        <f>317554.410898798+625848.806373162</f>
        <v>943403.21727195999</v>
      </c>
      <c r="W11" s="153">
        <v>1081571</v>
      </c>
      <c r="X11" s="46">
        <v>586524</v>
      </c>
      <c r="Y11" s="41">
        <v>9638</v>
      </c>
      <c r="Z11" s="41">
        <v>94674</v>
      </c>
      <c r="AA11" s="41">
        <v>80548</v>
      </c>
      <c r="AB11" s="41">
        <f>44517+27446</f>
        <v>71963</v>
      </c>
      <c r="AC11" s="41">
        <v>77934</v>
      </c>
      <c r="AD11" s="41">
        <v>31970</v>
      </c>
      <c r="AE11" s="41">
        <v>216253</v>
      </c>
      <c r="AF11" s="41">
        <v>226905</v>
      </c>
      <c r="AG11" s="46">
        <v>147817</v>
      </c>
      <c r="AH11" s="41">
        <v>318371</v>
      </c>
      <c r="AI11" s="41">
        <f t="shared" si="0"/>
        <v>5516027.1392719597</v>
      </c>
    </row>
    <row r="12" spans="1:35" x14ac:dyDescent="0.25">
      <c r="A12" s="65" t="s">
        <v>198</v>
      </c>
      <c r="B12" s="41"/>
      <c r="C12" s="41">
        <v>8628</v>
      </c>
      <c r="D12" s="41">
        <v>14608</v>
      </c>
      <c r="E12" s="41">
        <v>13521</v>
      </c>
      <c r="F12" s="41">
        <v>26074</v>
      </c>
      <c r="G12" s="41">
        <v>0</v>
      </c>
      <c r="H12" s="41">
        <v>14585</v>
      </c>
      <c r="I12" s="41"/>
      <c r="J12" s="41"/>
      <c r="K12" s="41"/>
      <c r="L12" s="46">
        <v>5218.3599999999997</v>
      </c>
      <c r="M12" s="41">
        <v>1283</v>
      </c>
      <c r="N12" s="41"/>
      <c r="O12" s="41">
        <v>106371</v>
      </c>
      <c r="P12" s="41">
        <v>87471</v>
      </c>
      <c r="Q12" s="41">
        <v>6952</v>
      </c>
      <c r="R12" s="41">
        <v>13064</v>
      </c>
      <c r="S12" s="41">
        <v>4850</v>
      </c>
      <c r="T12" s="41">
        <v>4606</v>
      </c>
      <c r="U12" s="41"/>
      <c r="V12" s="41">
        <v>486290.58629338129</v>
      </c>
      <c r="W12" s="153">
        <v>1003456</v>
      </c>
      <c r="X12" s="46">
        <v>519742</v>
      </c>
      <c r="Y12" s="41">
        <v>1135</v>
      </c>
      <c r="Z12" s="41">
        <v>9849</v>
      </c>
      <c r="AA12" s="41">
        <v>883</v>
      </c>
      <c r="AB12" s="41">
        <v>4030</v>
      </c>
      <c r="AC12" s="41">
        <v>1514</v>
      </c>
      <c r="AD12" s="41">
        <v>503</v>
      </c>
      <c r="AE12" s="41">
        <v>17766</v>
      </c>
      <c r="AF12" s="41">
        <v>13636</v>
      </c>
      <c r="AG12" s="46">
        <v>416122</v>
      </c>
      <c r="AH12" s="41">
        <v>5722</v>
      </c>
      <c r="AI12" s="41">
        <f t="shared" si="0"/>
        <v>2787879.946293381</v>
      </c>
    </row>
    <row r="13" spans="1:35" x14ac:dyDescent="0.25">
      <c r="A13" s="65" t="s">
        <v>199</v>
      </c>
      <c r="B13" s="41">
        <v>557.57100000000003</v>
      </c>
      <c r="C13" s="41">
        <v>28893</v>
      </c>
      <c r="D13" s="41">
        <v>2199</v>
      </c>
      <c r="E13" s="41">
        <v>13733</v>
      </c>
      <c r="F13" s="41">
        <v>56625</v>
      </c>
      <c r="G13" s="41">
        <v>4688</v>
      </c>
      <c r="H13" s="41">
        <v>2905</v>
      </c>
      <c r="I13" s="41">
        <v>840</v>
      </c>
      <c r="J13" s="41">
        <v>48</v>
      </c>
      <c r="K13" s="41">
        <v>34</v>
      </c>
      <c r="L13" s="46">
        <v>19732.21</v>
      </c>
      <c r="M13" s="41">
        <v>61863</v>
      </c>
      <c r="N13" s="41">
        <v>3693</v>
      </c>
      <c r="O13" s="41">
        <v>41535</v>
      </c>
      <c r="P13" s="41">
        <v>142388</v>
      </c>
      <c r="Q13" s="41">
        <v>15499</v>
      </c>
      <c r="R13" s="41">
        <v>1061</v>
      </c>
      <c r="S13" s="41">
        <v>12697</v>
      </c>
      <c r="T13" s="41">
        <v>1196</v>
      </c>
      <c r="U13" s="41">
        <v>17081</v>
      </c>
      <c r="V13" s="41">
        <v>16437.85417869201</v>
      </c>
      <c r="W13" s="153">
        <v>17502</v>
      </c>
      <c r="X13" s="46">
        <v>15395</v>
      </c>
      <c r="Y13" s="41">
        <v>325</v>
      </c>
      <c r="Z13" s="41">
        <v>35770</v>
      </c>
      <c r="AA13" s="41">
        <v>16112</v>
      </c>
      <c r="AB13" s="41">
        <v>23407</v>
      </c>
      <c r="AC13" s="41">
        <v>11335</v>
      </c>
      <c r="AD13" s="41">
        <v>24371</v>
      </c>
      <c r="AE13" s="41">
        <v>87830</v>
      </c>
      <c r="AF13" s="41">
        <v>40586</v>
      </c>
      <c r="AG13" s="46">
        <v>16841</v>
      </c>
      <c r="AH13" s="41">
        <v>8058</v>
      </c>
      <c r="AI13" s="41">
        <f t="shared" si="0"/>
        <v>741237.63517869194</v>
      </c>
    </row>
    <row r="14" spans="1:35" x14ac:dyDescent="0.25">
      <c r="A14" s="65" t="s">
        <v>200</v>
      </c>
      <c r="B14" s="41"/>
      <c r="C14" s="41"/>
      <c r="D14" s="41">
        <v>2580</v>
      </c>
      <c r="E14" s="41"/>
      <c r="F14" s="41"/>
      <c r="G14" s="41"/>
      <c r="H14" s="41">
        <v>9897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>
        <v>1445</v>
      </c>
      <c r="U14" s="41"/>
      <c r="V14" s="41">
        <v>90329.723925837956</v>
      </c>
      <c r="W14" s="41"/>
      <c r="X14" s="41"/>
      <c r="Y14" s="41"/>
      <c r="Z14" s="41">
        <v>37</v>
      </c>
      <c r="AA14" s="41"/>
      <c r="AB14" s="41"/>
      <c r="AC14" s="41"/>
      <c r="AD14" s="41"/>
      <c r="AE14" s="41"/>
      <c r="AF14" s="41"/>
      <c r="AG14" s="46">
        <v>100695</v>
      </c>
      <c r="AH14" s="41"/>
      <c r="AI14" s="41">
        <f t="shared" si="0"/>
        <v>204983.72392583796</v>
      </c>
    </row>
    <row r="15" spans="1:35" x14ac:dyDescent="0.25">
      <c r="A15" s="65" t="s">
        <v>201</v>
      </c>
      <c r="B15" s="41"/>
      <c r="C15" s="41">
        <v>47541</v>
      </c>
      <c r="D15" s="41"/>
      <c r="E15" s="41"/>
      <c r="F15" s="41"/>
      <c r="G15" s="41"/>
      <c r="H15" s="41"/>
      <c r="I15" s="41"/>
      <c r="J15" s="41">
        <v>399124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>
        <v>3335</v>
      </c>
      <c r="W15" s="153">
        <v>143948</v>
      </c>
      <c r="X15" s="46">
        <v>83505</v>
      </c>
      <c r="Y15" s="41"/>
      <c r="Z15" s="41"/>
      <c r="AA15" s="41"/>
      <c r="AB15" s="41"/>
      <c r="AC15" s="41"/>
      <c r="AD15" s="41"/>
      <c r="AE15" s="41">
        <v>128</v>
      </c>
      <c r="AF15" s="41"/>
      <c r="AG15" s="46">
        <v>69988</v>
      </c>
      <c r="AH15" s="41"/>
      <c r="AI15" s="41">
        <f t="shared" si="0"/>
        <v>747569</v>
      </c>
    </row>
    <row r="16" spans="1:35" s="12" customFormat="1" x14ac:dyDescent="0.25">
      <c r="A16" s="20" t="s">
        <v>60</v>
      </c>
      <c r="B16" s="21">
        <f t="shared" ref="B16:AG16" si="1">SUM(B4:B15)</f>
        <v>8875.1530000000002</v>
      </c>
      <c r="C16" s="21">
        <f t="shared" si="1"/>
        <v>332961</v>
      </c>
      <c r="D16" s="21">
        <f t="shared" si="1"/>
        <v>426443</v>
      </c>
      <c r="E16" s="21">
        <f t="shared" si="1"/>
        <v>271159</v>
      </c>
      <c r="F16" s="21">
        <f t="shared" si="1"/>
        <v>3011723</v>
      </c>
      <c r="G16" s="21">
        <f t="shared" si="1"/>
        <v>188803</v>
      </c>
      <c r="H16" s="21">
        <f t="shared" si="1"/>
        <v>656593</v>
      </c>
      <c r="I16" s="21">
        <f t="shared" si="1"/>
        <v>64022</v>
      </c>
      <c r="J16" s="21">
        <f t="shared" si="1"/>
        <v>765372</v>
      </c>
      <c r="K16" s="21">
        <f t="shared" si="1"/>
        <v>4332</v>
      </c>
      <c r="L16" s="21">
        <f t="shared" si="1"/>
        <v>1181411.9200000002</v>
      </c>
      <c r="M16" s="21">
        <f t="shared" si="1"/>
        <v>689206</v>
      </c>
      <c r="N16" s="21">
        <f t="shared" si="1"/>
        <v>50890</v>
      </c>
      <c r="O16" s="21">
        <f t="shared" si="1"/>
        <v>1997188</v>
      </c>
      <c r="P16" s="21">
        <f t="shared" si="1"/>
        <v>3675500</v>
      </c>
      <c r="Q16" s="21">
        <f t="shared" si="1"/>
        <v>318544</v>
      </c>
      <c r="R16" s="21">
        <f t="shared" si="1"/>
        <v>102992</v>
      </c>
      <c r="S16" s="21">
        <f t="shared" si="1"/>
        <v>222426</v>
      </c>
      <c r="T16" s="21">
        <f t="shared" si="1"/>
        <v>155987</v>
      </c>
      <c r="U16" s="21">
        <f t="shared" si="1"/>
        <v>368832</v>
      </c>
      <c r="V16" s="21">
        <f t="shared" si="1"/>
        <v>2873245.2337829228</v>
      </c>
      <c r="W16" s="21">
        <f t="shared" si="1"/>
        <v>4787873</v>
      </c>
      <c r="X16" s="21">
        <f t="shared" si="1"/>
        <v>2157844</v>
      </c>
      <c r="Y16" s="21">
        <f>SUM(Y4:Y15)</f>
        <v>18322</v>
      </c>
      <c r="Z16" s="21">
        <f t="shared" si="1"/>
        <v>297239</v>
      </c>
      <c r="AA16" s="21">
        <f t="shared" si="1"/>
        <v>455818</v>
      </c>
      <c r="AB16" s="21">
        <f t="shared" si="1"/>
        <v>250740</v>
      </c>
      <c r="AC16" s="21">
        <f t="shared" si="1"/>
        <v>342185</v>
      </c>
      <c r="AD16" s="21">
        <f t="shared" si="1"/>
        <v>490553</v>
      </c>
      <c r="AE16" s="21">
        <f t="shared" si="1"/>
        <v>923447</v>
      </c>
      <c r="AF16" s="21">
        <f t="shared" si="1"/>
        <v>1527418</v>
      </c>
      <c r="AG16" s="21">
        <f t="shared" si="1"/>
        <v>1519379</v>
      </c>
      <c r="AH16" s="21">
        <f>SUM(AH4:AH15)</f>
        <v>402392</v>
      </c>
      <c r="AI16" s="21">
        <f>SUM(AI4:AI15)</f>
        <v>30539715.30678292</v>
      </c>
    </row>
    <row r="17" spans="1:35" x14ac:dyDescent="0.25">
      <c r="A17" s="65" t="s">
        <v>202</v>
      </c>
      <c r="B17" s="41">
        <v>543.9</v>
      </c>
      <c r="C17" s="41"/>
      <c r="D17" s="41">
        <v>1877706</v>
      </c>
      <c r="E17" s="41">
        <v>55945</v>
      </c>
      <c r="F17" s="41">
        <v>110963</v>
      </c>
      <c r="G17" s="154">
        <v>16573</v>
      </c>
      <c r="H17" s="41">
        <v>13508</v>
      </c>
      <c r="I17" s="41">
        <v>4079</v>
      </c>
      <c r="J17" s="41">
        <v>72357</v>
      </c>
      <c r="K17" s="41"/>
      <c r="L17" s="46">
        <v>1129222.3400000001</v>
      </c>
      <c r="M17" s="41"/>
      <c r="N17" s="41"/>
      <c r="O17" s="41">
        <v>97829</v>
      </c>
      <c r="P17" s="41">
        <v>384357</v>
      </c>
      <c r="Q17" s="41">
        <v>12193</v>
      </c>
      <c r="R17" s="41"/>
      <c r="S17" s="41">
        <v>32262</v>
      </c>
      <c r="T17" s="41">
        <v>14375</v>
      </c>
      <c r="U17" s="41"/>
      <c r="V17" s="41">
        <v>253190</v>
      </c>
      <c r="W17" s="41">
        <v>331773</v>
      </c>
      <c r="X17" s="46">
        <v>2906622</v>
      </c>
      <c r="Y17" s="41">
        <v>6052</v>
      </c>
      <c r="Z17" s="41">
        <v>64013</v>
      </c>
      <c r="AA17" s="41">
        <v>3319</v>
      </c>
      <c r="AB17" s="41">
        <v>29853</v>
      </c>
      <c r="AC17" s="41">
        <v>219909</v>
      </c>
      <c r="AD17" s="41">
        <v>1228</v>
      </c>
      <c r="AE17" s="41">
        <v>46160</v>
      </c>
      <c r="AF17" s="41">
        <v>39970</v>
      </c>
      <c r="AG17" s="41">
        <v>324416</v>
      </c>
      <c r="AH17" s="41">
        <v>44745</v>
      </c>
      <c r="AI17" s="41">
        <f>SUM(B17:AH17)</f>
        <v>8093163.2400000002</v>
      </c>
    </row>
    <row r="18" spans="1:35" ht="30" x14ac:dyDescent="0.25">
      <c r="A18" s="65" t="s">
        <v>203</v>
      </c>
      <c r="B18" s="41"/>
      <c r="C18" s="41">
        <v>166889</v>
      </c>
      <c r="D18" s="41"/>
      <c r="E18" s="41"/>
      <c r="F18" s="154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>
        <f>SUM(B18:AH18)</f>
        <v>166889</v>
      </c>
    </row>
    <row r="19" spans="1:35" s="12" customFormat="1" x14ac:dyDescent="0.25">
      <c r="A19" s="20" t="s">
        <v>204</v>
      </c>
      <c r="B19" s="21">
        <f t="shared" ref="B19:AH19" si="2">SUM(B16:B18)</f>
        <v>9419.0529999999999</v>
      </c>
      <c r="C19" s="21">
        <f t="shared" si="2"/>
        <v>499850</v>
      </c>
      <c r="D19" s="21">
        <f t="shared" si="2"/>
        <v>2304149</v>
      </c>
      <c r="E19" s="21">
        <f t="shared" si="2"/>
        <v>327104</v>
      </c>
      <c r="F19" s="21">
        <f t="shared" si="2"/>
        <v>3122686</v>
      </c>
      <c r="G19" s="21">
        <f t="shared" si="2"/>
        <v>205376</v>
      </c>
      <c r="H19" s="21">
        <f t="shared" si="2"/>
        <v>670101</v>
      </c>
      <c r="I19" s="21">
        <f t="shared" si="2"/>
        <v>68101</v>
      </c>
      <c r="J19" s="21">
        <f t="shared" si="2"/>
        <v>837729</v>
      </c>
      <c r="K19" s="21">
        <f t="shared" si="2"/>
        <v>4332</v>
      </c>
      <c r="L19" s="21">
        <f t="shared" si="2"/>
        <v>2310634.2600000002</v>
      </c>
      <c r="M19" s="21">
        <f t="shared" si="2"/>
        <v>689206</v>
      </c>
      <c r="N19" s="21">
        <f t="shared" si="2"/>
        <v>50890</v>
      </c>
      <c r="O19" s="21">
        <f t="shared" si="2"/>
        <v>2095017</v>
      </c>
      <c r="P19" s="21">
        <f t="shared" si="2"/>
        <v>4059857</v>
      </c>
      <c r="Q19" s="21">
        <f t="shared" si="2"/>
        <v>330737</v>
      </c>
      <c r="R19" s="21">
        <f t="shared" si="2"/>
        <v>102992</v>
      </c>
      <c r="S19" s="21">
        <f t="shared" si="2"/>
        <v>254688</v>
      </c>
      <c r="T19" s="21">
        <f t="shared" si="2"/>
        <v>170362</v>
      </c>
      <c r="U19" s="21">
        <f t="shared" si="2"/>
        <v>368832</v>
      </c>
      <c r="V19" s="21">
        <f t="shared" si="2"/>
        <v>3126435.2337829228</v>
      </c>
      <c r="W19" s="21">
        <f t="shared" si="2"/>
        <v>5119646</v>
      </c>
      <c r="X19" s="21">
        <f t="shared" si="2"/>
        <v>5064466</v>
      </c>
      <c r="Y19" s="21">
        <f>SUM(Y16:Y18)</f>
        <v>24374</v>
      </c>
      <c r="Z19" s="21">
        <f t="shared" si="2"/>
        <v>361252</v>
      </c>
      <c r="AA19" s="21">
        <f t="shared" si="2"/>
        <v>459137</v>
      </c>
      <c r="AB19" s="21">
        <f t="shared" si="2"/>
        <v>280593</v>
      </c>
      <c r="AC19" s="21">
        <f t="shared" si="2"/>
        <v>562094</v>
      </c>
      <c r="AD19" s="21">
        <f t="shared" si="2"/>
        <v>491781</v>
      </c>
      <c r="AE19" s="21">
        <f t="shared" si="2"/>
        <v>969607</v>
      </c>
      <c r="AF19" s="21">
        <f t="shared" si="2"/>
        <v>1567388</v>
      </c>
      <c r="AG19" s="21">
        <f t="shared" si="2"/>
        <v>1843795</v>
      </c>
      <c r="AH19" s="21">
        <f t="shared" si="2"/>
        <v>447137</v>
      </c>
      <c r="AI19" s="21">
        <f>SUM(B19:AH19)</f>
        <v>38799767.546782926</v>
      </c>
    </row>
    <row r="22" spans="1:35" x14ac:dyDescent="0.25">
      <c r="O22" s="94"/>
    </row>
    <row r="27" spans="1:35" x14ac:dyDescent="0.25">
      <c r="O27" s="94"/>
    </row>
    <row r="33" spans="15:15" x14ac:dyDescent="0.25">
      <c r="O33" s="94"/>
    </row>
    <row r="35" spans="15:15" x14ac:dyDescent="0.25">
      <c r="O35" s="94"/>
    </row>
    <row r="37" spans="15:15" x14ac:dyDescent="0.25">
      <c r="O37" s="94"/>
    </row>
    <row r="42" spans="15:15" x14ac:dyDescent="0.25">
      <c r="O42" s="94"/>
    </row>
    <row r="43" spans="15:15" x14ac:dyDescent="0.25">
      <c r="O43" s="94"/>
    </row>
    <row r="45" spans="15:15" x14ac:dyDescent="0.25">
      <c r="O45" s="95"/>
    </row>
    <row r="51" spans="15:15" x14ac:dyDescent="0.25">
      <c r="O51" s="94"/>
    </row>
    <row r="52" spans="15:15" x14ac:dyDescent="0.25">
      <c r="O52" s="94"/>
    </row>
    <row r="55" spans="15:15" x14ac:dyDescent="0.25">
      <c r="O55" s="94"/>
    </row>
    <row r="56" spans="15:15" x14ac:dyDescent="0.25">
      <c r="O56" s="94"/>
    </row>
    <row r="59" spans="15:15" x14ac:dyDescent="0.25">
      <c r="O59" s="94"/>
    </row>
    <row r="61" spans="15:15" x14ac:dyDescent="0.25">
      <c r="O61" s="94"/>
    </row>
    <row r="65" spans="15:15" x14ac:dyDescent="0.25">
      <c r="O65" s="94"/>
    </row>
    <row r="70" spans="15:15" x14ac:dyDescent="0.25">
      <c r="O70" s="94"/>
    </row>
    <row r="76" spans="15:15" x14ac:dyDescent="0.25">
      <c r="O76" s="94"/>
    </row>
    <row r="78" spans="15:15" x14ac:dyDescent="0.25">
      <c r="O78" s="94"/>
    </row>
    <row r="80" spans="15:15" x14ac:dyDescent="0.25">
      <c r="O80" s="94"/>
    </row>
    <row r="85" spans="15:15" x14ac:dyDescent="0.25">
      <c r="O85" s="94"/>
    </row>
    <row r="86" spans="15:15" x14ac:dyDescent="0.25">
      <c r="O86" s="94"/>
    </row>
    <row r="88" spans="15:15" x14ac:dyDescent="0.25">
      <c r="O88" s="95"/>
    </row>
  </sheetData>
  <pageMargins left="0.7" right="0.7" top="0.75" bottom="0.75" header="0.3" footer="0.3"/>
  <pageSetup paperSize="9" orientation="portrait" r:id="rId1"/>
  <ignoredErrors>
    <ignoredError sqref="AI1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7"/>
  <sheetViews>
    <sheetView workbookViewId="0">
      <pane xSplit="1" ySplit="3" topLeftCell="B4" activePane="bottomRight" state="frozen"/>
      <selection activeCell="K84" sqref="K84"/>
      <selection pane="topRight" activeCell="K84" sqref="K84"/>
      <selection pane="bottomLeft" activeCell="K84" sqref="K84"/>
      <selection pane="bottomRight" activeCell="B1" sqref="B1"/>
    </sheetView>
  </sheetViews>
  <sheetFormatPr defaultRowHeight="15" x14ac:dyDescent="0.25"/>
  <cols>
    <col min="1" max="1" width="56.5703125" style="6" bestFit="1" customWidth="1"/>
    <col min="2" max="26" width="16" style="4" customWidth="1"/>
    <col min="27" max="27" width="14.5703125" style="4" customWidth="1"/>
    <col min="28" max="35" width="16" style="4" customWidth="1"/>
    <col min="36" max="16384" width="9.140625" style="4"/>
  </cols>
  <sheetData>
    <row r="1" spans="1:35" s="11" customFormat="1" ht="18.75" x14ac:dyDescent="0.3">
      <c r="A1" s="50" t="s">
        <v>160</v>
      </c>
    </row>
    <row r="2" spans="1:35" x14ac:dyDescent="0.25">
      <c r="A2" s="6" t="s">
        <v>42</v>
      </c>
    </row>
    <row r="3" spans="1:35" s="19" customFormat="1" x14ac:dyDescent="0.25">
      <c r="A3" s="23" t="s">
        <v>0</v>
      </c>
      <c r="B3" s="130" t="s">
        <v>1</v>
      </c>
      <c r="C3" s="130" t="s">
        <v>2</v>
      </c>
      <c r="D3" s="130" t="s">
        <v>3</v>
      </c>
      <c r="E3" s="130" t="s">
        <v>4</v>
      </c>
      <c r="F3" s="130" t="s">
        <v>5</v>
      </c>
      <c r="G3" s="130" t="s">
        <v>6</v>
      </c>
      <c r="H3" s="130" t="s">
        <v>7</v>
      </c>
      <c r="I3" s="130" t="s">
        <v>8</v>
      </c>
      <c r="J3" s="130" t="s">
        <v>9</v>
      </c>
      <c r="K3" s="130" t="s">
        <v>10</v>
      </c>
      <c r="L3" s="130" t="s">
        <v>11</v>
      </c>
      <c r="M3" s="130" t="s">
        <v>12</v>
      </c>
      <c r="N3" s="130" t="s">
        <v>13</v>
      </c>
      <c r="O3" s="130" t="s">
        <v>14</v>
      </c>
      <c r="P3" s="130" t="s">
        <v>15</v>
      </c>
      <c r="Q3" s="130" t="s">
        <v>16</v>
      </c>
      <c r="R3" s="130" t="s">
        <v>17</v>
      </c>
      <c r="S3" s="130" t="s">
        <v>18</v>
      </c>
      <c r="T3" s="130" t="s">
        <v>19</v>
      </c>
      <c r="U3" s="130" t="s">
        <v>20</v>
      </c>
      <c r="V3" s="130" t="s">
        <v>21</v>
      </c>
      <c r="W3" s="130" t="s">
        <v>109</v>
      </c>
      <c r="X3" s="130" t="s">
        <v>110</v>
      </c>
      <c r="Y3" s="130" t="s">
        <v>22</v>
      </c>
      <c r="Z3" s="130" t="s">
        <v>23</v>
      </c>
      <c r="AA3" s="130" t="s">
        <v>24</v>
      </c>
      <c r="AB3" s="130" t="s">
        <v>25</v>
      </c>
      <c r="AC3" s="130" t="s">
        <v>26</v>
      </c>
      <c r="AD3" s="130" t="s">
        <v>27</v>
      </c>
      <c r="AE3" s="130" t="s">
        <v>28</v>
      </c>
      <c r="AF3" s="130" t="s">
        <v>29</v>
      </c>
      <c r="AG3" s="130" t="s">
        <v>30</v>
      </c>
      <c r="AH3" s="130" t="s">
        <v>31</v>
      </c>
      <c r="AI3" s="130" t="s">
        <v>150</v>
      </c>
    </row>
    <row r="4" spans="1:35" x14ac:dyDescent="0.25">
      <c r="A4" s="65" t="s">
        <v>95</v>
      </c>
      <c r="B4" s="56">
        <f>50239/1000</f>
        <v>50.238999999999997</v>
      </c>
      <c r="C4" s="56">
        <v>541</v>
      </c>
      <c r="D4" s="41">
        <v>7</v>
      </c>
      <c r="E4" s="41">
        <v>30124</v>
      </c>
      <c r="F4" s="41">
        <f>47318+653951</f>
        <v>701269</v>
      </c>
      <c r="G4" s="41">
        <v>168408</v>
      </c>
      <c r="H4" s="41">
        <v>156350</v>
      </c>
      <c r="I4" s="41">
        <v>13380</v>
      </c>
      <c r="J4" s="56">
        <v>6324</v>
      </c>
      <c r="K4" s="41">
        <v>7</v>
      </c>
      <c r="L4" s="155">
        <v>6664.35</v>
      </c>
      <c r="M4" s="41">
        <v>125334</v>
      </c>
      <c r="N4" s="56">
        <v>455</v>
      </c>
      <c r="O4" s="41">
        <v>902601</v>
      </c>
      <c r="P4" s="41">
        <v>312780</v>
      </c>
      <c r="Q4" s="41">
        <v>30032</v>
      </c>
      <c r="R4" s="56">
        <v>6401</v>
      </c>
      <c r="S4" s="41">
        <v>93707</v>
      </c>
      <c r="T4" s="41">
        <v>19635</v>
      </c>
      <c r="U4" s="41">
        <v>21227</v>
      </c>
      <c r="V4" s="156">
        <v>141331</v>
      </c>
      <c r="W4" s="41">
        <v>1978528</v>
      </c>
      <c r="X4" s="41">
        <v>1001916</v>
      </c>
      <c r="Y4" s="41">
        <v>17</v>
      </c>
      <c r="Z4" s="56">
        <v>32405</v>
      </c>
      <c r="AA4" s="56">
        <v>34932</v>
      </c>
      <c r="AB4" s="41">
        <v>47384</v>
      </c>
      <c r="AC4" s="41">
        <v>82499</v>
      </c>
      <c r="AD4" s="41">
        <v>213412</v>
      </c>
      <c r="AE4" s="41">
        <v>1272769</v>
      </c>
      <c r="AF4" s="41">
        <v>204243</v>
      </c>
      <c r="AG4" s="41">
        <v>2623778</v>
      </c>
      <c r="AH4" s="56">
        <v>4573</v>
      </c>
      <c r="AI4" s="41">
        <f>SUM(B4:AH4)</f>
        <v>10233083.589</v>
      </c>
    </row>
    <row r="5" spans="1:35" x14ac:dyDescent="0.25">
      <c r="A5" s="65" t="s">
        <v>96</v>
      </c>
      <c r="B5" s="56"/>
      <c r="C5" s="56"/>
      <c r="D5" s="41"/>
      <c r="E5" s="41"/>
      <c r="F5" s="41"/>
      <c r="G5" s="41"/>
      <c r="H5" s="41"/>
      <c r="I5" s="41"/>
      <c r="J5" s="56"/>
      <c r="K5" s="41"/>
      <c r="L5" s="155"/>
      <c r="M5" s="41"/>
      <c r="N5" s="56"/>
      <c r="O5" s="41"/>
      <c r="P5" s="41"/>
      <c r="Q5" s="41"/>
      <c r="R5" s="56"/>
      <c r="S5" s="41"/>
      <c r="T5" s="41"/>
      <c r="U5" s="41"/>
      <c r="V5" s="41"/>
      <c r="W5" s="41"/>
      <c r="X5" s="41"/>
      <c r="Y5" s="41"/>
      <c r="Z5" s="56"/>
      <c r="AA5" s="56"/>
      <c r="AB5" s="41"/>
      <c r="AC5" s="41"/>
      <c r="AD5" s="41"/>
      <c r="AE5" s="41"/>
      <c r="AF5" s="41"/>
      <c r="AG5" s="41"/>
      <c r="AH5" s="56"/>
      <c r="AI5" s="41">
        <f t="shared" ref="AI5:AI16" si="0">SUM(B5:AH5)</f>
        <v>0</v>
      </c>
    </row>
    <row r="6" spans="1:35" x14ac:dyDescent="0.25">
      <c r="A6" s="65" t="s">
        <v>97</v>
      </c>
      <c r="B6" s="56"/>
      <c r="C6" s="56"/>
      <c r="D6" s="41"/>
      <c r="E6" s="41"/>
      <c r="F6" s="41"/>
      <c r="G6" s="41"/>
      <c r="H6" s="41"/>
      <c r="I6" s="41"/>
      <c r="J6" s="56"/>
      <c r="K6" s="41"/>
      <c r="L6" s="155"/>
      <c r="M6" s="41"/>
      <c r="N6" s="56"/>
      <c r="O6" s="41"/>
      <c r="P6" s="41"/>
      <c r="Q6" s="41"/>
      <c r="R6" s="56"/>
      <c r="S6" s="41"/>
      <c r="T6" s="41"/>
      <c r="U6" s="41"/>
      <c r="V6" s="41"/>
      <c r="W6" s="41"/>
      <c r="X6" s="41"/>
      <c r="Y6" s="41"/>
      <c r="Z6" s="56"/>
      <c r="AA6" s="56"/>
      <c r="AB6" s="41"/>
      <c r="AC6" s="41"/>
      <c r="AD6" s="41"/>
      <c r="AE6" s="41"/>
      <c r="AF6" s="41"/>
      <c r="AG6" s="41"/>
      <c r="AH6" s="56"/>
      <c r="AI6" s="41">
        <f t="shared" si="0"/>
        <v>0</v>
      </c>
    </row>
    <row r="7" spans="1:35" ht="15" customHeight="1" x14ac:dyDescent="0.25">
      <c r="A7" s="65" t="s">
        <v>98</v>
      </c>
      <c r="B7" s="56"/>
      <c r="C7" s="56">
        <v>532</v>
      </c>
      <c r="D7" s="41">
        <v>10829966</v>
      </c>
      <c r="E7" s="41">
        <v>1075791</v>
      </c>
      <c r="F7" s="41">
        <v>2742602</v>
      </c>
      <c r="G7" s="41">
        <v>715808</v>
      </c>
      <c r="H7" s="41"/>
      <c r="I7" s="41">
        <v>197500</v>
      </c>
      <c r="J7" s="56"/>
      <c r="K7" s="41"/>
      <c r="L7" s="155">
        <f>2834000+2087000</f>
        <v>4921000</v>
      </c>
      <c r="M7" s="41"/>
      <c r="N7" s="56"/>
      <c r="O7" s="41">
        <v>1143412</v>
      </c>
      <c r="P7" s="41">
        <v>3044078</v>
      </c>
      <c r="Q7" s="41"/>
      <c r="R7" s="56"/>
      <c r="S7" s="41">
        <v>63100</v>
      </c>
      <c r="T7" s="41"/>
      <c r="U7" s="41">
        <v>106500</v>
      </c>
      <c r="V7" s="157">
        <v>814135</v>
      </c>
      <c r="W7" s="41">
        <v>14541878</v>
      </c>
      <c r="X7" s="41">
        <v>14386424</v>
      </c>
      <c r="Y7" s="41"/>
      <c r="Z7" s="56">
        <v>9670</v>
      </c>
      <c r="AA7" s="56">
        <v>10634</v>
      </c>
      <c r="AB7" s="41"/>
      <c r="AC7" s="41"/>
      <c r="AD7" s="41"/>
      <c r="AE7" s="41">
        <v>1283800</v>
      </c>
      <c r="AF7" s="41"/>
      <c r="AG7" s="41">
        <v>9827904</v>
      </c>
      <c r="AH7" s="56"/>
      <c r="AI7" s="41">
        <f t="shared" si="0"/>
        <v>65714734</v>
      </c>
    </row>
    <row r="8" spans="1:35" x14ac:dyDescent="0.25">
      <c r="A8" s="65" t="s">
        <v>99</v>
      </c>
      <c r="B8" s="56"/>
      <c r="C8" s="56"/>
      <c r="D8" s="41"/>
      <c r="E8" s="41">
        <v>502500</v>
      </c>
      <c r="F8" s="41"/>
      <c r="G8" s="41"/>
      <c r="H8" s="41"/>
      <c r="I8" s="41">
        <v>2500</v>
      </c>
      <c r="J8" s="56"/>
      <c r="K8" s="41"/>
      <c r="L8" s="155">
        <v>76500</v>
      </c>
      <c r="M8" s="41">
        <v>1885</v>
      </c>
      <c r="N8" s="56"/>
      <c r="O8" s="41">
        <v>14751</v>
      </c>
      <c r="P8" s="41"/>
      <c r="Q8" s="41"/>
      <c r="R8" s="56"/>
      <c r="S8" s="41"/>
      <c r="T8" s="41"/>
      <c r="U8" s="41">
        <v>157214</v>
      </c>
      <c r="V8" s="41"/>
      <c r="W8" s="41">
        <v>46920989</v>
      </c>
      <c r="X8" s="41"/>
      <c r="Y8" s="41"/>
      <c r="Z8" s="56"/>
      <c r="AA8" s="56">
        <v>9797</v>
      </c>
      <c r="AB8" s="41"/>
      <c r="AC8" s="41"/>
      <c r="AD8" s="41"/>
      <c r="AE8" s="41">
        <v>19800</v>
      </c>
      <c r="AF8" s="41"/>
      <c r="AG8" s="41"/>
      <c r="AH8" s="56"/>
      <c r="AI8" s="41">
        <f t="shared" si="0"/>
        <v>47705936</v>
      </c>
    </row>
    <row r="9" spans="1:35" x14ac:dyDescent="0.25">
      <c r="A9" s="65" t="s">
        <v>100</v>
      </c>
      <c r="B9" s="56">
        <f>21304504/1000</f>
        <v>21304.504000000001</v>
      </c>
      <c r="C9" s="56">
        <v>300540</v>
      </c>
      <c r="D9" s="41">
        <v>15661304</v>
      </c>
      <c r="E9" s="41">
        <v>698861</v>
      </c>
      <c r="F9" s="41">
        <v>4878320</v>
      </c>
      <c r="G9" s="41">
        <v>300037</v>
      </c>
      <c r="H9" s="41">
        <v>464997</v>
      </c>
      <c r="I9" s="41">
        <v>193957</v>
      </c>
      <c r="J9" s="56">
        <v>28357</v>
      </c>
      <c r="K9" s="41">
        <v>20639</v>
      </c>
      <c r="L9" s="155">
        <v>120895.22</v>
      </c>
      <c r="M9" s="41">
        <v>1016225</v>
      </c>
      <c r="N9" s="56">
        <v>341087</v>
      </c>
      <c r="O9" s="41">
        <v>2309649</v>
      </c>
      <c r="P9" s="41">
        <v>2561306</v>
      </c>
      <c r="Q9" s="41">
        <v>1863559</v>
      </c>
      <c r="R9" s="56">
        <v>88928</v>
      </c>
      <c r="S9" s="41">
        <v>331913</v>
      </c>
      <c r="T9" s="41">
        <v>173579</v>
      </c>
      <c r="U9" s="41"/>
      <c r="V9" s="156">
        <v>8324149</v>
      </c>
      <c r="W9" s="41">
        <v>9994833</v>
      </c>
      <c r="X9" s="41">
        <v>7253501</v>
      </c>
      <c r="Y9" s="41">
        <v>49598</v>
      </c>
      <c r="Z9" s="56">
        <v>3129723</v>
      </c>
      <c r="AA9" s="56">
        <v>191090</v>
      </c>
      <c r="AB9" s="41">
        <v>607967</v>
      </c>
      <c r="AC9" s="41">
        <v>307722</v>
      </c>
      <c r="AD9" s="41">
        <v>887517</v>
      </c>
      <c r="AE9" s="41">
        <v>2443599</v>
      </c>
      <c r="AF9" s="41">
        <v>4912314</v>
      </c>
      <c r="AG9" s="41">
        <v>5257193</v>
      </c>
      <c r="AH9" s="56">
        <v>1369597</v>
      </c>
      <c r="AI9" s="41">
        <f t="shared" si="0"/>
        <v>76104260.724000007</v>
      </c>
    </row>
    <row r="10" spans="1:35" x14ac:dyDescent="0.25">
      <c r="A10" s="65" t="s">
        <v>135</v>
      </c>
      <c r="B10" s="56"/>
      <c r="C10" s="56"/>
      <c r="D10" s="41"/>
      <c r="E10" s="41"/>
      <c r="F10" s="41"/>
      <c r="G10" s="41"/>
      <c r="H10" s="41"/>
      <c r="I10" s="41"/>
      <c r="J10" s="56"/>
      <c r="K10" s="41"/>
      <c r="L10" s="155"/>
      <c r="M10" s="41"/>
      <c r="N10" s="56"/>
      <c r="O10" s="41"/>
      <c r="P10" s="41"/>
      <c r="Q10" s="41"/>
      <c r="R10" s="56"/>
      <c r="S10" s="41"/>
      <c r="T10" s="41">
        <v>68615</v>
      </c>
      <c r="U10" s="41"/>
      <c r="V10" s="41"/>
      <c r="W10" s="41"/>
      <c r="X10" s="41"/>
      <c r="Y10" s="41"/>
      <c r="Z10" s="56">
        <v>201356</v>
      </c>
      <c r="AA10" s="56"/>
      <c r="AB10" s="41"/>
      <c r="AC10" s="41"/>
      <c r="AD10" s="41"/>
      <c r="AE10" s="41"/>
      <c r="AF10" s="41"/>
      <c r="AG10" s="41"/>
      <c r="AH10" s="56"/>
      <c r="AI10" s="41">
        <f t="shared" si="0"/>
        <v>269971</v>
      </c>
    </row>
    <row r="11" spans="1:35" x14ac:dyDescent="0.25">
      <c r="A11" s="65" t="s">
        <v>136</v>
      </c>
      <c r="B11" s="56"/>
      <c r="C11" s="56"/>
      <c r="D11" s="41"/>
      <c r="E11" s="41"/>
      <c r="F11" s="41"/>
      <c r="G11" s="41"/>
      <c r="H11" s="41"/>
      <c r="I11" s="41"/>
      <c r="J11" s="56"/>
      <c r="K11" s="41"/>
      <c r="L11" s="155">
        <v>100</v>
      </c>
      <c r="M11" s="41"/>
      <c r="N11" s="56"/>
      <c r="O11" s="41"/>
      <c r="P11" s="41"/>
      <c r="Q11" s="41"/>
      <c r="R11" s="56"/>
      <c r="S11" s="41"/>
      <c r="T11" s="41"/>
      <c r="U11" s="41"/>
      <c r="V11" s="41"/>
      <c r="W11" s="41"/>
      <c r="X11" s="41"/>
      <c r="Y11" s="41"/>
      <c r="Z11" s="56"/>
      <c r="AA11" s="56"/>
      <c r="AB11" s="41"/>
      <c r="AC11" s="41"/>
      <c r="AD11" s="41"/>
      <c r="AE11" s="41"/>
      <c r="AF11" s="41"/>
      <c r="AG11" s="41"/>
      <c r="AH11" s="56"/>
      <c r="AI11" s="41">
        <f t="shared" si="0"/>
        <v>100</v>
      </c>
    </row>
    <row r="12" spans="1:35" x14ac:dyDescent="0.25">
      <c r="A12" s="65" t="s">
        <v>101</v>
      </c>
      <c r="B12" s="56"/>
      <c r="C12" s="56"/>
      <c r="D12" s="41"/>
      <c r="E12" s="41"/>
      <c r="F12" s="41"/>
      <c r="G12" s="41"/>
      <c r="H12" s="41"/>
      <c r="I12" s="41"/>
      <c r="J12" s="56"/>
      <c r="K12" s="41"/>
      <c r="L12" s="155"/>
      <c r="M12" s="41"/>
      <c r="N12" s="56"/>
      <c r="O12" s="41"/>
      <c r="P12" s="41"/>
      <c r="Q12" s="41"/>
      <c r="R12" s="56"/>
      <c r="S12" s="41"/>
      <c r="T12" s="41"/>
      <c r="U12" s="41"/>
      <c r="V12" s="41"/>
      <c r="W12" s="41"/>
      <c r="X12" s="41"/>
      <c r="Y12" s="41"/>
      <c r="Z12" s="56"/>
      <c r="AA12" s="56"/>
      <c r="AB12" s="41"/>
      <c r="AC12" s="41"/>
      <c r="AD12" s="41"/>
      <c r="AE12" s="41"/>
      <c r="AF12" s="41"/>
      <c r="AG12" s="41"/>
      <c r="AH12" s="56"/>
      <c r="AI12" s="41">
        <f t="shared" si="0"/>
        <v>0</v>
      </c>
    </row>
    <row r="13" spans="1:35" x14ac:dyDescent="0.25">
      <c r="A13" s="65" t="s">
        <v>102</v>
      </c>
      <c r="B13" s="56"/>
      <c r="C13" s="56"/>
      <c r="D13" s="41"/>
      <c r="E13" s="41"/>
      <c r="F13" s="41"/>
      <c r="G13" s="41"/>
      <c r="H13" s="41"/>
      <c r="I13" s="41"/>
      <c r="J13" s="56"/>
      <c r="K13" s="41"/>
      <c r="L13" s="41"/>
      <c r="M13" s="41"/>
      <c r="N13" s="56"/>
      <c r="O13" s="41"/>
      <c r="P13" s="41"/>
      <c r="Q13" s="41"/>
      <c r="R13" s="56"/>
      <c r="S13" s="41"/>
      <c r="T13" s="41"/>
      <c r="U13" s="41"/>
      <c r="V13" s="41"/>
      <c r="W13" s="41"/>
      <c r="X13" s="41"/>
      <c r="Y13" s="41"/>
      <c r="Z13" s="56"/>
      <c r="AA13" s="56"/>
      <c r="AB13" s="41"/>
      <c r="AC13" s="41"/>
      <c r="AD13" s="41"/>
      <c r="AE13" s="41"/>
      <c r="AF13" s="41"/>
      <c r="AG13" s="41"/>
      <c r="AH13" s="56"/>
      <c r="AI13" s="41">
        <f t="shared" si="0"/>
        <v>0</v>
      </c>
    </row>
    <row r="14" spans="1:35" x14ac:dyDescent="0.25">
      <c r="A14" s="65" t="s">
        <v>103</v>
      </c>
      <c r="B14" s="56"/>
      <c r="C14" s="56"/>
      <c r="D14" s="41"/>
      <c r="E14" s="41"/>
      <c r="F14" s="41"/>
      <c r="G14" s="41"/>
      <c r="H14" s="41"/>
      <c r="I14" s="41"/>
      <c r="J14" s="56"/>
      <c r="K14" s="41"/>
      <c r="L14" s="41"/>
      <c r="M14" s="41"/>
      <c r="N14" s="56"/>
      <c r="O14" s="41"/>
      <c r="P14" s="41"/>
      <c r="Q14" s="41"/>
      <c r="R14" s="56"/>
      <c r="S14" s="41"/>
      <c r="T14" s="41"/>
      <c r="U14" s="41"/>
      <c r="V14" s="41"/>
      <c r="W14" s="41">
        <v>16774443</v>
      </c>
      <c r="X14" s="41"/>
      <c r="Y14" s="41"/>
      <c r="Z14" s="56"/>
      <c r="AA14" s="56"/>
      <c r="AB14" s="41"/>
      <c r="AC14" s="41"/>
      <c r="AD14" s="41"/>
      <c r="AE14" s="41"/>
      <c r="AF14" s="41"/>
      <c r="AG14" s="41">
        <v>2498723</v>
      </c>
      <c r="AH14" s="56"/>
      <c r="AI14" s="41">
        <f t="shared" si="0"/>
        <v>19273166</v>
      </c>
    </row>
    <row r="15" spans="1:35" x14ac:dyDescent="0.25">
      <c r="A15" s="65" t="s">
        <v>132</v>
      </c>
      <c r="B15" s="56"/>
      <c r="C15" s="56"/>
      <c r="D15" s="41"/>
      <c r="E15" s="41"/>
      <c r="F15" s="41"/>
      <c r="G15" s="41"/>
      <c r="H15" s="41">
        <v>5900</v>
      </c>
      <c r="I15" s="41"/>
      <c r="J15" s="56"/>
      <c r="K15" s="41"/>
      <c r="L15" s="56"/>
      <c r="M15" s="41"/>
      <c r="N15" s="56"/>
      <c r="O15" s="41"/>
      <c r="P15" s="41"/>
      <c r="Q15" s="41"/>
      <c r="R15" s="56"/>
      <c r="S15" s="41"/>
      <c r="T15" s="41"/>
      <c r="U15" s="41"/>
      <c r="V15" s="156">
        <v>26893</v>
      </c>
      <c r="W15" s="41"/>
      <c r="X15" s="41"/>
      <c r="Y15" s="41"/>
      <c r="Z15" s="56"/>
      <c r="AA15" s="56"/>
      <c r="AB15" s="41"/>
      <c r="AC15" s="41"/>
      <c r="AD15" s="41"/>
      <c r="AE15" s="41"/>
      <c r="AF15" s="41"/>
      <c r="AG15" s="41"/>
      <c r="AH15" s="56"/>
      <c r="AI15" s="41">
        <f t="shared" si="0"/>
        <v>32793</v>
      </c>
    </row>
    <row r="16" spans="1:35" s="12" customFormat="1" x14ac:dyDescent="0.25">
      <c r="A16" s="20" t="s">
        <v>60</v>
      </c>
      <c r="B16" s="54">
        <f>SUM(B4:B15)</f>
        <v>21354.743000000002</v>
      </c>
      <c r="C16" s="54">
        <f>SUM(C4:C15)</f>
        <v>301613</v>
      </c>
      <c r="D16" s="21">
        <f t="shared" ref="D16:K16" si="1">SUM(D4:D15)</f>
        <v>26491277</v>
      </c>
      <c r="E16" s="21">
        <f t="shared" si="1"/>
        <v>2307276</v>
      </c>
      <c r="F16" s="21">
        <f t="shared" si="1"/>
        <v>8322191</v>
      </c>
      <c r="G16" s="21">
        <f t="shared" si="1"/>
        <v>1184253</v>
      </c>
      <c r="H16" s="21">
        <f t="shared" si="1"/>
        <v>627247</v>
      </c>
      <c r="I16" s="21">
        <f t="shared" si="1"/>
        <v>407337</v>
      </c>
      <c r="J16" s="21">
        <f t="shared" si="1"/>
        <v>34681</v>
      </c>
      <c r="K16" s="21">
        <f t="shared" si="1"/>
        <v>20646</v>
      </c>
      <c r="L16" s="21">
        <f>SUM(L4:L15)</f>
        <v>5125159.5699999994</v>
      </c>
      <c r="M16" s="21">
        <f>SUM(M4:M15)</f>
        <v>1143444</v>
      </c>
      <c r="N16" s="54">
        <f t="shared" ref="N16:R16" si="2">SUM(N4:N15)</f>
        <v>341542</v>
      </c>
      <c r="O16" s="21">
        <f t="shared" si="2"/>
        <v>4370413</v>
      </c>
      <c r="P16" s="21">
        <f t="shared" si="2"/>
        <v>5918164</v>
      </c>
      <c r="Q16" s="21">
        <f t="shared" si="2"/>
        <v>1893591</v>
      </c>
      <c r="R16" s="21">
        <f t="shared" si="2"/>
        <v>95329</v>
      </c>
      <c r="S16" s="21">
        <f t="shared" ref="S16:Y16" si="3">SUM(S4:S15)</f>
        <v>488720</v>
      </c>
      <c r="T16" s="21">
        <f t="shared" si="3"/>
        <v>261829</v>
      </c>
      <c r="U16" s="21">
        <f t="shared" si="3"/>
        <v>284941</v>
      </c>
      <c r="V16" s="21">
        <f t="shared" si="3"/>
        <v>9306508</v>
      </c>
      <c r="W16" s="21">
        <f t="shared" si="3"/>
        <v>90210671</v>
      </c>
      <c r="X16" s="21">
        <f t="shared" si="3"/>
        <v>22641841</v>
      </c>
      <c r="Y16" s="21">
        <f t="shared" si="3"/>
        <v>49615</v>
      </c>
      <c r="Z16" s="21">
        <f>SUM(Z4:Z15)</f>
        <v>3373154</v>
      </c>
      <c r="AA16" s="54">
        <v>246453</v>
      </c>
      <c r="AB16" s="21">
        <f t="shared" ref="AB16:AH16" si="4">SUM(AB4:AB15)</f>
        <v>655351</v>
      </c>
      <c r="AC16" s="21">
        <f t="shared" si="4"/>
        <v>390221</v>
      </c>
      <c r="AD16" s="21">
        <f t="shared" si="4"/>
        <v>1100929</v>
      </c>
      <c r="AE16" s="21">
        <f t="shared" si="4"/>
        <v>5019968</v>
      </c>
      <c r="AF16" s="21">
        <f t="shared" si="4"/>
        <v>5116557</v>
      </c>
      <c r="AG16" s="21">
        <f t="shared" si="4"/>
        <v>20207598</v>
      </c>
      <c r="AH16" s="21">
        <f t="shared" si="4"/>
        <v>1374170</v>
      </c>
      <c r="AI16" s="21">
        <f t="shared" si="0"/>
        <v>219334044.31299999</v>
      </c>
    </row>
    <row r="17" spans="15:15" x14ac:dyDescent="0.25">
      <c r="O17" s="8"/>
    </row>
    <row r="18" spans="15:15" x14ac:dyDescent="0.25">
      <c r="O18" s="8"/>
    </row>
    <row r="19" spans="15:15" x14ac:dyDescent="0.25">
      <c r="O19" s="8"/>
    </row>
    <row r="20" spans="15:15" x14ac:dyDescent="0.25">
      <c r="O20" s="8"/>
    </row>
    <row r="21" spans="15:15" x14ac:dyDescent="0.25">
      <c r="O21" s="15"/>
    </row>
    <row r="22" spans="15:15" x14ac:dyDescent="0.25">
      <c r="O22" s="8"/>
    </row>
    <row r="23" spans="15:15" x14ac:dyDescent="0.25">
      <c r="O23" s="8"/>
    </row>
    <row r="24" spans="15:15" x14ac:dyDescent="0.25">
      <c r="O24" s="8"/>
    </row>
    <row r="25" spans="15:15" x14ac:dyDescent="0.25">
      <c r="O25" s="8"/>
    </row>
    <row r="26" spans="15:15" x14ac:dyDescent="0.25">
      <c r="O26" s="15"/>
    </row>
    <row r="27" spans="15:15" x14ac:dyDescent="0.25">
      <c r="O27" s="8"/>
    </row>
    <row r="28" spans="15:15" x14ac:dyDescent="0.25">
      <c r="O28" s="8"/>
    </row>
    <row r="29" spans="15:15" x14ac:dyDescent="0.25">
      <c r="O29" s="8"/>
    </row>
    <row r="30" spans="15:15" x14ac:dyDescent="0.25">
      <c r="O30" s="8"/>
    </row>
    <row r="31" spans="15:15" x14ac:dyDescent="0.25">
      <c r="O31" s="8"/>
    </row>
    <row r="32" spans="15:15" x14ac:dyDescent="0.25">
      <c r="O32" s="15"/>
    </row>
    <row r="33" spans="15:15" x14ac:dyDescent="0.25">
      <c r="O33" s="8"/>
    </row>
    <row r="34" spans="15:15" x14ac:dyDescent="0.25">
      <c r="O34" s="15"/>
    </row>
    <row r="35" spans="15:15" x14ac:dyDescent="0.25">
      <c r="O35" s="8"/>
    </row>
    <row r="36" spans="15:15" x14ac:dyDescent="0.25">
      <c r="O36" s="15"/>
    </row>
    <row r="37" spans="15:15" x14ac:dyDescent="0.25">
      <c r="O37" s="8"/>
    </row>
    <row r="38" spans="15:15" x14ac:dyDescent="0.25">
      <c r="O38" s="8"/>
    </row>
    <row r="39" spans="15:15" x14ac:dyDescent="0.25">
      <c r="O39" s="8"/>
    </row>
    <row r="40" spans="15:15" x14ac:dyDescent="0.25">
      <c r="O40" s="8"/>
    </row>
    <row r="41" spans="15:15" x14ac:dyDescent="0.25">
      <c r="O41" s="15"/>
    </row>
    <row r="42" spans="15:15" x14ac:dyDescent="0.25">
      <c r="O42" s="15"/>
    </row>
    <row r="43" spans="15:15" x14ac:dyDescent="0.25">
      <c r="O43" s="8"/>
    </row>
    <row r="44" spans="15:15" x14ac:dyDescent="0.25">
      <c r="O44" s="16"/>
    </row>
    <row r="45" spans="15:15" x14ac:dyDescent="0.25">
      <c r="O45" s="8"/>
    </row>
    <row r="46" spans="15:15" x14ac:dyDescent="0.25">
      <c r="O46" s="8"/>
    </row>
    <row r="47" spans="15:15" x14ac:dyDescent="0.25">
      <c r="O47" s="8"/>
    </row>
    <row r="48" spans="15:15" x14ac:dyDescent="0.25">
      <c r="O48" s="8"/>
    </row>
    <row r="49" spans="15:15" x14ac:dyDescent="0.25">
      <c r="O49" s="8"/>
    </row>
    <row r="50" spans="15:15" x14ac:dyDescent="0.25">
      <c r="O50" s="13">
        <v>18168181</v>
      </c>
    </row>
    <row r="51" spans="15:15" x14ac:dyDescent="0.25">
      <c r="O51" s="13">
        <v>6100204</v>
      </c>
    </row>
    <row r="52" spans="15:15" x14ac:dyDescent="0.25">
      <c r="O52" s="8"/>
    </row>
    <row r="53" spans="15:15" x14ac:dyDescent="0.25">
      <c r="O53" s="8"/>
    </row>
    <row r="54" spans="15:15" x14ac:dyDescent="0.25">
      <c r="O54" s="13">
        <v>2600514</v>
      </c>
    </row>
    <row r="55" spans="15:15" x14ac:dyDescent="0.25">
      <c r="O55" s="13">
        <v>53757</v>
      </c>
    </row>
    <row r="56" spans="15:15" x14ac:dyDescent="0.25">
      <c r="O56" s="8"/>
    </row>
    <row r="57" spans="15:15" x14ac:dyDescent="0.25">
      <c r="O57" s="8"/>
    </row>
    <row r="58" spans="15:15" x14ac:dyDescent="0.25">
      <c r="O58" s="13">
        <v>10704856</v>
      </c>
    </row>
    <row r="59" spans="15:15" x14ac:dyDescent="0.25">
      <c r="O59" s="8"/>
    </row>
    <row r="60" spans="15:15" x14ac:dyDescent="0.25">
      <c r="O60" s="13">
        <v>336110</v>
      </c>
    </row>
    <row r="61" spans="15:15" x14ac:dyDescent="0.25">
      <c r="O61" s="8"/>
    </row>
    <row r="62" spans="15:15" x14ac:dyDescent="0.25">
      <c r="O62" s="8"/>
    </row>
    <row r="63" spans="15:15" x14ac:dyDescent="0.25">
      <c r="O63" s="8"/>
    </row>
    <row r="64" spans="15:15" x14ac:dyDescent="0.25">
      <c r="O64" s="13">
        <v>17948264</v>
      </c>
    </row>
    <row r="65" spans="15:15" x14ac:dyDescent="0.25">
      <c r="O65" s="8">
        <v>973343</v>
      </c>
    </row>
    <row r="66" spans="15:15" x14ac:dyDescent="0.25">
      <c r="O66" s="8"/>
    </row>
    <row r="67" spans="15:15" x14ac:dyDescent="0.25">
      <c r="O67" s="8"/>
    </row>
    <row r="68" spans="15:15" x14ac:dyDescent="0.25">
      <c r="O68" s="8"/>
    </row>
    <row r="69" spans="15:15" x14ac:dyDescent="0.25">
      <c r="O69" s="13">
        <v>1375959</v>
      </c>
    </row>
    <row r="70" spans="15:15" x14ac:dyDescent="0.25">
      <c r="O70" s="8"/>
    </row>
    <row r="71" spans="15:15" x14ac:dyDescent="0.25">
      <c r="O71" s="8"/>
    </row>
    <row r="72" spans="15:15" x14ac:dyDescent="0.25">
      <c r="O72" s="8"/>
    </row>
    <row r="73" spans="15:15" x14ac:dyDescent="0.25">
      <c r="O73" s="8"/>
    </row>
    <row r="74" spans="15:15" x14ac:dyDescent="0.25">
      <c r="O74" s="8"/>
    </row>
    <row r="75" spans="15:15" x14ac:dyDescent="0.25">
      <c r="O75" s="13">
        <v>2335077</v>
      </c>
    </row>
    <row r="76" spans="15:15" x14ac:dyDescent="0.25">
      <c r="O76" s="8"/>
    </row>
    <row r="77" spans="15:15" x14ac:dyDescent="0.25">
      <c r="O77" s="13">
        <v>1487508</v>
      </c>
    </row>
    <row r="78" spans="15:15" x14ac:dyDescent="0.25">
      <c r="O78" s="8"/>
    </row>
    <row r="79" spans="15:15" x14ac:dyDescent="0.25">
      <c r="O79" s="13">
        <v>1413880</v>
      </c>
    </row>
    <row r="80" spans="15:15" x14ac:dyDescent="0.25">
      <c r="O80" s="8"/>
    </row>
    <row r="81" spans="15:15" x14ac:dyDescent="0.25">
      <c r="O81" s="8"/>
    </row>
    <row r="82" spans="15:15" x14ac:dyDescent="0.25">
      <c r="O82" s="8"/>
    </row>
    <row r="83" spans="15:15" x14ac:dyDescent="0.25">
      <c r="O83" s="8"/>
    </row>
    <row r="84" spans="15:15" x14ac:dyDescent="0.25">
      <c r="O84" s="13">
        <v>4376443</v>
      </c>
    </row>
    <row r="85" spans="15:15" x14ac:dyDescent="0.25">
      <c r="O85" s="13">
        <v>418995</v>
      </c>
    </row>
    <row r="87" spans="15:15" x14ac:dyDescent="0.25">
      <c r="O87" s="17">
        <v>68293089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9.7109375" customWidth="1"/>
    <col min="2" max="35" width="16" customWidth="1"/>
  </cols>
  <sheetData>
    <row r="1" spans="1:35" ht="37.5" x14ac:dyDescent="0.3">
      <c r="A1" s="24" t="s">
        <v>325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x14ac:dyDescent="0.25">
      <c r="A2" s="51" t="s">
        <v>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25">
      <c r="A3" s="23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  <c r="L3" s="96" t="s">
        <v>11</v>
      </c>
      <c r="M3" s="96" t="s">
        <v>12</v>
      </c>
      <c r="N3" s="96" t="s">
        <v>13</v>
      </c>
      <c r="O3" s="96" t="s">
        <v>14</v>
      </c>
      <c r="P3" s="96" t="s">
        <v>15</v>
      </c>
      <c r="Q3" s="96" t="s">
        <v>16</v>
      </c>
      <c r="R3" s="96" t="s">
        <v>17</v>
      </c>
      <c r="S3" s="96" t="s">
        <v>18</v>
      </c>
      <c r="T3" s="96" t="s">
        <v>19</v>
      </c>
      <c r="U3" s="96" t="s">
        <v>20</v>
      </c>
      <c r="V3" s="96" t="s">
        <v>21</v>
      </c>
      <c r="W3" s="96" t="s">
        <v>109</v>
      </c>
      <c r="X3" s="96" t="s">
        <v>110</v>
      </c>
      <c r="Y3" s="96" t="s">
        <v>22</v>
      </c>
      <c r="Z3" s="96" t="s">
        <v>23</v>
      </c>
      <c r="AA3" s="96" t="s">
        <v>24</v>
      </c>
      <c r="AB3" s="96" t="s">
        <v>25</v>
      </c>
      <c r="AC3" s="96" t="s">
        <v>26</v>
      </c>
      <c r="AD3" s="96" t="s">
        <v>27</v>
      </c>
      <c r="AE3" s="96" t="s">
        <v>28</v>
      </c>
      <c r="AF3" s="96" t="s">
        <v>29</v>
      </c>
      <c r="AG3" s="96" t="s">
        <v>30</v>
      </c>
      <c r="AH3" s="96" t="s">
        <v>31</v>
      </c>
      <c r="AI3" s="96" t="s">
        <v>150</v>
      </c>
    </row>
    <row r="4" spans="1:35" x14ac:dyDescent="0.25">
      <c r="A4" s="22" t="s">
        <v>232</v>
      </c>
      <c r="B4" s="18"/>
      <c r="C4" s="18">
        <v>40525</v>
      </c>
      <c r="D4" s="18"/>
      <c r="E4" s="18">
        <v>189272</v>
      </c>
      <c r="F4" s="18">
        <v>1214537</v>
      </c>
      <c r="G4" s="18">
        <v>173623</v>
      </c>
      <c r="H4" s="18">
        <v>119945</v>
      </c>
      <c r="I4" s="18">
        <v>61951</v>
      </c>
      <c r="J4" s="18">
        <v>50210</v>
      </c>
      <c r="K4" s="18"/>
      <c r="L4" s="18"/>
      <c r="M4" s="18">
        <v>94498</v>
      </c>
      <c r="N4" s="18">
        <v>16175</v>
      </c>
      <c r="O4" s="18">
        <v>322443</v>
      </c>
      <c r="P4" s="18">
        <v>119752</v>
      </c>
      <c r="Q4" s="18">
        <v>419021</v>
      </c>
      <c r="R4" s="18">
        <v>18134</v>
      </c>
      <c r="S4" s="18">
        <v>146978</v>
      </c>
      <c r="T4" s="18">
        <v>23835</v>
      </c>
      <c r="U4" s="18">
        <v>94207</v>
      </c>
      <c r="V4" s="18">
        <v>833882</v>
      </c>
      <c r="W4" s="18">
        <v>476464</v>
      </c>
      <c r="X4" s="35">
        <v>899347</v>
      </c>
      <c r="Y4" s="18">
        <v>5432</v>
      </c>
      <c r="Z4" s="4">
        <v>300707</v>
      </c>
      <c r="AA4" s="18">
        <v>151694</v>
      </c>
      <c r="AB4" s="18">
        <v>202090</v>
      </c>
      <c r="AC4" s="18">
        <v>218154</v>
      </c>
      <c r="AD4" s="18">
        <v>109136</v>
      </c>
      <c r="AE4" s="18">
        <v>318110</v>
      </c>
      <c r="AF4" s="18">
        <v>817296</v>
      </c>
      <c r="AG4" s="35">
        <v>1071610</v>
      </c>
      <c r="AH4" s="18">
        <v>92481</v>
      </c>
      <c r="AI4" s="18">
        <f t="shared" ref="AI4:AI16" si="0">SUM(B4:AH4)</f>
        <v>8601509</v>
      </c>
    </row>
    <row r="5" spans="1:35" ht="30" x14ac:dyDescent="0.25">
      <c r="A5" s="22" t="s">
        <v>233</v>
      </c>
      <c r="B5" s="18">
        <v>2506</v>
      </c>
      <c r="C5" s="18">
        <v>28055</v>
      </c>
      <c r="D5" s="18">
        <v>45137768</v>
      </c>
      <c r="E5" s="18">
        <v>299431</v>
      </c>
      <c r="F5" s="18">
        <v>14829386</v>
      </c>
      <c r="G5" s="18">
        <v>2900879</v>
      </c>
      <c r="H5" s="18">
        <v>5951839</v>
      </c>
      <c r="I5" s="18">
        <v>31929</v>
      </c>
      <c r="J5" s="18">
        <v>119685</v>
      </c>
      <c r="K5" s="18">
        <v>10754</v>
      </c>
      <c r="L5" s="18">
        <v>935881.16</v>
      </c>
      <c r="M5" s="18">
        <v>1259409</v>
      </c>
      <c r="N5" s="18">
        <v>110575</v>
      </c>
      <c r="O5" s="18">
        <v>16517883</v>
      </c>
      <c r="P5" s="18">
        <v>19903868</v>
      </c>
      <c r="Q5" s="18">
        <v>6556057</v>
      </c>
      <c r="R5" s="18">
        <v>59174</v>
      </c>
      <c r="S5" s="18">
        <v>212181</v>
      </c>
      <c r="T5" s="18">
        <v>495503</v>
      </c>
      <c r="U5" s="18">
        <v>470315</v>
      </c>
      <c r="V5" s="18">
        <v>31460945</v>
      </c>
      <c r="W5" s="18">
        <v>45259935</v>
      </c>
      <c r="X5" s="35">
        <v>91838</v>
      </c>
      <c r="Y5" s="18">
        <v>75798</v>
      </c>
      <c r="Z5" s="18">
        <v>6811092</v>
      </c>
      <c r="AA5" s="18">
        <v>145783</v>
      </c>
      <c r="AB5" s="18">
        <v>1691534</v>
      </c>
      <c r="AC5" s="18">
        <v>5145349</v>
      </c>
      <c r="AD5" s="18">
        <v>196077</v>
      </c>
      <c r="AE5" s="18">
        <v>2806</v>
      </c>
      <c r="AF5" s="18">
        <v>5222453</v>
      </c>
      <c r="AG5" s="35">
        <v>23414248</v>
      </c>
      <c r="AH5" s="18">
        <v>4666534</v>
      </c>
      <c r="AI5" s="18">
        <f t="shared" si="0"/>
        <v>240017470.16</v>
      </c>
    </row>
    <row r="6" spans="1:35" x14ac:dyDescent="0.25">
      <c r="A6" s="22" t="s">
        <v>234</v>
      </c>
      <c r="B6" s="18"/>
      <c r="C6" s="18"/>
      <c r="D6" s="18"/>
      <c r="E6" s="18"/>
      <c r="F6" s="18"/>
      <c r="G6" s="18">
        <v>26272</v>
      </c>
      <c r="H6" s="18"/>
      <c r="I6" s="18"/>
      <c r="J6" s="18"/>
      <c r="K6" s="18"/>
      <c r="L6" s="18"/>
      <c r="M6" s="18"/>
      <c r="N6" s="18"/>
      <c r="O6" s="18"/>
      <c r="P6" s="18">
        <v>130227</v>
      </c>
      <c r="Q6" s="18"/>
      <c r="R6" s="18"/>
      <c r="S6" s="18"/>
      <c r="T6" s="18"/>
      <c r="U6" s="18"/>
      <c r="V6" s="18">
        <v>15451103</v>
      </c>
      <c r="W6" s="18">
        <v>355315</v>
      </c>
      <c r="X6" s="35">
        <v>754350</v>
      </c>
      <c r="Y6" s="18"/>
      <c r="Z6" s="18"/>
      <c r="AA6" s="18"/>
      <c r="AB6" s="18"/>
      <c r="AC6" s="18"/>
      <c r="AD6" s="18"/>
      <c r="AE6" s="18"/>
      <c r="AF6" s="18"/>
      <c r="AG6" s="35">
        <v>6684</v>
      </c>
      <c r="AH6" s="18"/>
      <c r="AI6" s="18">
        <f t="shared" si="0"/>
        <v>16723951</v>
      </c>
    </row>
    <row r="7" spans="1:35" x14ac:dyDescent="0.25">
      <c r="A7" s="22" t="s">
        <v>235</v>
      </c>
      <c r="B7" s="18">
        <v>773</v>
      </c>
      <c r="C7" s="18">
        <v>8207</v>
      </c>
      <c r="D7" s="18"/>
      <c r="E7" s="18">
        <v>165896</v>
      </c>
      <c r="F7" s="18">
        <v>3011057</v>
      </c>
      <c r="G7" s="18">
        <v>68392</v>
      </c>
      <c r="H7" s="18">
        <v>1514719</v>
      </c>
      <c r="I7" s="18">
        <v>19729</v>
      </c>
      <c r="J7" s="18"/>
      <c r="K7" s="18">
        <v>221</v>
      </c>
      <c r="L7" s="18">
        <v>2215068.67</v>
      </c>
      <c r="M7" s="18">
        <v>134257</v>
      </c>
      <c r="N7" s="18">
        <v>29069</v>
      </c>
      <c r="O7" s="18">
        <v>557520</v>
      </c>
      <c r="P7" s="18">
        <v>295161</v>
      </c>
      <c r="Q7" s="18">
        <v>626984</v>
      </c>
      <c r="R7" s="18">
        <v>13874</v>
      </c>
      <c r="S7" s="18">
        <v>43917</v>
      </c>
      <c r="T7" s="18">
        <v>69353</v>
      </c>
      <c r="U7" s="18">
        <v>52428</v>
      </c>
      <c r="V7" s="18">
        <v>910816</v>
      </c>
      <c r="W7" s="18">
        <v>1934671</v>
      </c>
      <c r="X7" s="35">
        <v>1129473</v>
      </c>
      <c r="Y7" s="18">
        <v>8598</v>
      </c>
      <c r="Z7" s="18">
        <v>569036</v>
      </c>
      <c r="AA7" s="18">
        <v>539497</v>
      </c>
      <c r="AB7" s="18">
        <v>179015</v>
      </c>
      <c r="AC7" s="18">
        <v>63207</v>
      </c>
      <c r="AD7" s="18">
        <v>357746</v>
      </c>
      <c r="AE7" s="18">
        <v>236014</v>
      </c>
      <c r="AF7" s="18">
        <v>2099952</v>
      </c>
      <c r="AG7" s="35">
        <v>1807906</v>
      </c>
      <c r="AH7" s="18">
        <v>112367</v>
      </c>
      <c r="AI7" s="18">
        <f t="shared" si="0"/>
        <v>18774923.670000002</v>
      </c>
    </row>
    <row r="8" spans="1:35" x14ac:dyDescent="0.25">
      <c r="A8" s="22" t="s">
        <v>236</v>
      </c>
      <c r="B8" s="18"/>
      <c r="C8" s="18">
        <v>348093</v>
      </c>
      <c r="D8" s="18"/>
      <c r="E8" s="18">
        <v>317856</v>
      </c>
      <c r="F8" s="18">
        <v>4292433</v>
      </c>
      <c r="G8" s="18">
        <v>329369</v>
      </c>
      <c r="H8" s="18">
        <v>1419365</v>
      </c>
      <c r="I8" s="18">
        <v>149146</v>
      </c>
      <c r="J8" s="18">
        <v>274934</v>
      </c>
      <c r="K8" s="18"/>
      <c r="L8" s="18">
        <v>281783.33</v>
      </c>
      <c r="M8" s="18">
        <v>1096765</v>
      </c>
      <c r="N8" s="18">
        <v>27965</v>
      </c>
      <c r="O8" s="18">
        <v>6628914</v>
      </c>
      <c r="P8" s="18">
        <v>4197457</v>
      </c>
      <c r="Q8" s="18">
        <v>125342</v>
      </c>
      <c r="R8" s="18">
        <v>41020</v>
      </c>
      <c r="S8" s="18">
        <v>234769</v>
      </c>
      <c r="T8" s="18">
        <v>37087</v>
      </c>
      <c r="U8" s="18">
        <v>71363</v>
      </c>
      <c r="V8" s="18">
        <v>6993326</v>
      </c>
      <c r="W8" s="18">
        <v>15834874</v>
      </c>
      <c r="X8" s="18">
        <v>0</v>
      </c>
      <c r="Y8" s="18">
        <v>2878</v>
      </c>
      <c r="Z8" s="18">
        <v>3887590</v>
      </c>
      <c r="AA8" s="18">
        <v>296293</v>
      </c>
      <c r="AB8" s="18">
        <v>194404</v>
      </c>
      <c r="AC8" s="18">
        <v>1903890</v>
      </c>
      <c r="AD8" s="18">
        <v>52728</v>
      </c>
      <c r="AE8" s="18">
        <v>67330</v>
      </c>
      <c r="AF8" s="18">
        <v>2325151</v>
      </c>
      <c r="AG8" s="18">
        <v>0</v>
      </c>
      <c r="AH8" s="18">
        <v>13956</v>
      </c>
      <c r="AI8" s="18">
        <f t="shared" si="0"/>
        <v>51446081.329999998</v>
      </c>
    </row>
    <row r="9" spans="1:35" x14ac:dyDescent="0.25">
      <c r="A9" s="22" t="s">
        <v>237</v>
      </c>
      <c r="B9" s="18">
        <v>10342</v>
      </c>
      <c r="C9" s="18">
        <v>397343</v>
      </c>
      <c r="D9" s="18">
        <v>2208760</v>
      </c>
      <c r="E9" s="18">
        <v>26533</v>
      </c>
      <c r="F9" s="18">
        <v>2879283</v>
      </c>
      <c r="G9" s="18">
        <v>200498</v>
      </c>
      <c r="H9" s="18">
        <v>1009251</v>
      </c>
      <c r="I9" s="18">
        <v>104136</v>
      </c>
      <c r="J9" s="18">
        <v>474880</v>
      </c>
      <c r="K9" s="18">
        <v>35883</v>
      </c>
      <c r="L9" s="18">
        <v>247545.97</v>
      </c>
      <c r="M9" s="18">
        <v>750467</v>
      </c>
      <c r="N9" s="18">
        <v>162350</v>
      </c>
      <c r="O9" s="18">
        <v>5862746</v>
      </c>
      <c r="P9" s="18">
        <v>4473169</v>
      </c>
      <c r="Q9" s="18">
        <v>1525498</v>
      </c>
      <c r="R9" s="18">
        <v>2368</v>
      </c>
      <c r="S9" s="18">
        <v>336065</v>
      </c>
      <c r="T9" s="18">
        <v>131302</v>
      </c>
      <c r="U9" s="18">
        <v>1322976</v>
      </c>
      <c r="V9" s="18">
        <v>26620891</v>
      </c>
      <c r="W9" s="18">
        <v>10233763</v>
      </c>
      <c r="X9" s="35">
        <v>13162569</v>
      </c>
      <c r="Y9" s="18">
        <v>59918</v>
      </c>
      <c r="Z9" s="18">
        <v>1969549</v>
      </c>
      <c r="AA9" s="18">
        <v>1448992</v>
      </c>
      <c r="AB9" s="18">
        <v>1223283</v>
      </c>
      <c r="AC9" s="18">
        <v>1466774</v>
      </c>
      <c r="AD9" s="18">
        <v>566748</v>
      </c>
      <c r="AE9" s="18">
        <v>675597</v>
      </c>
      <c r="AF9" s="18">
        <v>2433172</v>
      </c>
      <c r="AG9" s="35">
        <v>21787047</v>
      </c>
      <c r="AH9" s="18">
        <v>583689</v>
      </c>
      <c r="AI9" s="18">
        <f t="shared" si="0"/>
        <v>104393387.97</v>
      </c>
    </row>
    <row r="10" spans="1:35" x14ac:dyDescent="0.25">
      <c r="A10" s="22" t="s">
        <v>238</v>
      </c>
      <c r="B10" s="18">
        <v>5933</v>
      </c>
      <c r="C10" s="18">
        <v>96179</v>
      </c>
      <c r="D10" s="18"/>
      <c r="E10" s="18"/>
      <c r="F10" s="18"/>
      <c r="G10" s="18"/>
      <c r="H10" s="18"/>
      <c r="I10" s="18"/>
      <c r="J10" s="18"/>
      <c r="K10" s="18">
        <v>9123</v>
      </c>
      <c r="L10" s="18"/>
      <c r="M10" s="18"/>
      <c r="N10" s="18"/>
      <c r="O10" s="18">
        <v>79017</v>
      </c>
      <c r="P10" s="18">
        <v>84844</v>
      </c>
      <c r="Q10" s="18"/>
      <c r="R10" s="18">
        <v>1944</v>
      </c>
      <c r="S10" s="18"/>
      <c r="T10" s="18"/>
      <c r="U10" s="18"/>
      <c r="V10" s="18"/>
      <c r="W10" s="18">
        <v>0</v>
      </c>
      <c r="X10" s="18">
        <v>0</v>
      </c>
      <c r="Y10" s="18"/>
      <c r="Z10" s="18"/>
      <c r="AA10" s="18">
        <v>4387</v>
      </c>
      <c r="AB10" s="18">
        <v>41232</v>
      </c>
      <c r="AC10" s="18">
        <v>186860</v>
      </c>
      <c r="AD10" s="18"/>
      <c r="AE10" s="18"/>
      <c r="AF10" s="18"/>
      <c r="AG10" s="18">
        <v>0</v>
      </c>
      <c r="AH10" s="18"/>
      <c r="AI10" s="18">
        <f t="shared" si="0"/>
        <v>509519</v>
      </c>
    </row>
    <row r="11" spans="1:35" x14ac:dyDescent="0.25">
      <c r="A11" s="22" t="s">
        <v>239</v>
      </c>
      <c r="B11" s="18">
        <v>1015</v>
      </c>
      <c r="C11" s="18">
        <v>223286</v>
      </c>
      <c r="D11" s="18">
        <v>37204481</v>
      </c>
      <c r="E11" s="18">
        <v>1613943</v>
      </c>
      <c r="F11" s="18">
        <v>59166585</v>
      </c>
      <c r="G11" s="18">
        <f>18189025+916357</f>
        <v>19105382</v>
      </c>
      <c r="H11" s="18">
        <v>33154878</v>
      </c>
      <c r="I11" s="18">
        <v>422499</v>
      </c>
      <c r="J11" s="18">
        <v>17458</v>
      </c>
      <c r="K11" s="18">
        <v>187</v>
      </c>
      <c r="L11" s="18">
        <v>53458846.990000002</v>
      </c>
      <c r="M11" s="18">
        <v>16480099</v>
      </c>
      <c r="N11" s="18">
        <v>66633</v>
      </c>
      <c r="O11" s="18">
        <v>29027229</v>
      </c>
      <c r="P11" s="18">
        <v>159160313</v>
      </c>
      <c r="Q11" s="18">
        <v>37787976</v>
      </c>
      <c r="R11" s="18">
        <v>683672</v>
      </c>
      <c r="S11" s="18">
        <v>4470098</v>
      </c>
      <c r="T11" s="18">
        <v>6945686</v>
      </c>
      <c r="U11" s="18">
        <v>522005</v>
      </c>
      <c r="V11" s="18">
        <v>138340498</v>
      </c>
      <c r="W11" s="18">
        <v>197200929</v>
      </c>
      <c r="X11" s="35">
        <v>103398373</v>
      </c>
      <c r="Y11" s="18">
        <v>819986</v>
      </c>
      <c r="Z11" s="18">
        <f>47333104+137330</f>
        <v>47470434</v>
      </c>
      <c r="AA11" s="18">
        <v>1152031</v>
      </c>
      <c r="AB11" s="18">
        <v>21417889</v>
      </c>
      <c r="AC11" s="18">
        <v>19501565</v>
      </c>
      <c r="AD11" s="18">
        <v>55591111</v>
      </c>
      <c r="AE11" s="18">
        <v>2044069</v>
      </c>
      <c r="AF11" s="18">
        <v>26572504</v>
      </c>
      <c r="AG11" s="35">
        <v>140926732</v>
      </c>
      <c r="AH11" s="18">
        <v>12244059</v>
      </c>
      <c r="AI11" s="18">
        <f t="shared" si="0"/>
        <v>1226192451.99</v>
      </c>
    </row>
    <row r="12" spans="1:35" x14ac:dyDescent="0.25">
      <c r="A12" s="22" t="s">
        <v>240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>
        <v>3600</v>
      </c>
      <c r="P12" s="18"/>
      <c r="Q12" s="18"/>
      <c r="R12" s="18"/>
      <c r="S12" s="18"/>
      <c r="T12" s="18"/>
      <c r="U12" s="18"/>
      <c r="V12" s="18"/>
      <c r="W12" s="18"/>
      <c r="X12" s="18">
        <v>0</v>
      </c>
      <c r="Y12" s="18"/>
      <c r="Z12" s="18"/>
      <c r="AA12" s="18"/>
      <c r="AB12" s="18">
        <v>10000</v>
      </c>
      <c r="AC12" s="18"/>
      <c r="AD12" s="18"/>
      <c r="AE12" s="18"/>
      <c r="AF12" s="18">
        <v>2208</v>
      </c>
      <c r="AG12" s="18"/>
      <c r="AH12" s="18"/>
      <c r="AI12" s="18">
        <f t="shared" si="0"/>
        <v>15808</v>
      </c>
    </row>
    <row r="13" spans="1:35" x14ac:dyDescent="0.25">
      <c r="A13" s="22" t="s">
        <v>241</v>
      </c>
      <c r="B13" s="18"/>
      <c r="C13" s="18"/>
      <c r="D13" s="18"/>
      <c r="E13" s="18">
        <v>26533</v>
      </c>
      <c r="F13" s="18">
        <v>107274</v>
      </c>
      <c r="G13" s="18">
        <v>232328</v>
      </c>
      <c r="H13" s="18"/>
      <c r="I13" s="18">
        <v>4269</v>
      </c>
      <c r="J13" s="18"/>
      <c r="K13" s="18"/>
      <c r="L13" s="18">
        <v>15983.04</v>
      </c>
      <c r="M13" s="18">
        <v>52958</v>
      </c>
      <c r="N13" s="18"/>
      <c r="O13" s="18">
        <v>189329</v>
      </c>
      <c r="P13" s="18">
        <v>1122939</v>
      </c>
      <c r="Q13" s="18"/>
      <c r="R13" s="18">
        <v>627</v>
      </c>
      <c r="S13" s="18">
        <v>4377</v>
      </c>
      <c r="T13" s="18">
        <v>12231</v>
      </c>
      <c r="U13" s="18">
        <v>13676</v>
      </c>
      <c r="V13" s="18">
        <v>840104</v>
      </c>
      <c r="W13" s="18">
        <v>1091390</v>
      </c>
      <c r="X13" s="35">
        <v>730729</v>
      </c>
      <c r="Y13" s="18">
        <v>1452</v>
      </c>
      <c r="Z13" s="18"/>
      <c r="AA13" s="18">
        <v>14408</v>
      </c>
      <c r="AB13" s="18">
        <v>111814</v>
      </c>
      <c r="AC13" s="18">
        <v>35789</v>
      </c>
      <c r="AD13" s="18">
        <v>205967</v>
      </c>
      <c r="AE13" s="18">
        <v>3512</v>
      </c>
      <c r="AF13" s="18">
        <v>241989</v>
      </c>
      <c r="AG13" s="35">
        <v>1671175</v>
      </c>
      <c r="AH13" s="18"/>
      <c r="AI13" s="18">
        <f t="shared" si="0"/>
        <v>6730853.04</v>
      </c>
    </row>
    <row r="14" spans="1:35" ht="30" x14ac:dyDescent="0.25">
      <c r="A14" s="22" t="s">
        <v>242</v>
      </c>
      <c r="B14" s="18"/>
      <c r="C14" s="18"/>
      <c r="D14" s="18"/>
      <c r="E14" s="18"/>
      <c r="F14" s="18"/>
      <c r="G14" s="18">
        <v>35252</v>
      </c>
      <c r="H14" s="18"/>
      <c r="I14" s="18">
        <v>677</v>
      </c>
      <c r="J14" s="18"/>
      <c r="K14" s="18"/>
      <c r="L14" s="18"/>
      <c r="M14" s="18"/>
      <c r="N14" s="18"/>
      <c r="O14" s="18"/>
      <c r="P14" s="18">
        <v>138002</v>
      </c>
      <c r="Q14" s="18"/>
      <c r="R14" s="18"/>
      <c r="S14" s="18">
        <v>408</v>
      </c>
      <c r="T14" s="18"/>
      <c r="U14" s="18"/>
      <c r="V14" s="18"/>
      <c r="W14" s="18">
        <v>78140</v>
      </c>
      <c r="X14" s="18"/>
      <c r="Y14" s="18"/>
      <c r="Z14" s="18"/>
      <c r="AA14" s="18"/>
      <c r="AB14" s="18"/>
      <c r="AC14" s="18">
        <v>3093</v>
      </c>
      <c r="AD14" s="18"/>
      <c r="AE14" s="18"/>
      <c r="AF14" s="18"/>
      <c r="AG14" s="18"/>
      <c r="AH14" s="18">
        <v>4558</v>
      </c>
      <c r="AI14" s="18">
        <f t="shared" si="0"/>
        <v>260130</v>
      </c>
    </row>
    <row r="15" spans="1:35" x14ac:dyDescent="0.25">
      <c r="A15" s="22" t="s">
        <v>132</v>
      </c>
      <c r="B15" s="18">
        <f t="shared" ref="B15:E15" si="1">B16-B14-B13-B12-B11-B10-B9-B8-B7-B6-B5-B4</f>
        <v>14277</v>
      </c>
      <c r="C15" s="18">
        <f t="shared" si="1"/>
        <v>143127</v>
      </c>
      <c r="D15" s="18">
        <f t="shared" si="1"/>
        <v>4142152</v>
      </c>
      <c r="E15" s="18">
        <f t="shared" si="1"/>
        <v>1203719</v>
      </c>
      <c r="F15" s="18">
        <f>173660+80928+1640350+780006</f>
        <v>2674944</v>
      </c>
      <c r="G15" s="18">
        <f>G16-G14-G13-G11-G9-G8-G7-G6-G5-G4-G10-G12</f>
        <v>1816644</v>
      </c>
      <c r="H15" s="18">
        <f t="shared" ref="H15:I15" si="2">H16-H14-H13-H12-H11-H10-H9-H8-H7-H6-H5-H4</f>
        <v>816848</v>
      </c>
      <c r="I15" s="18">
        <f t="shared" si="2"/>
        <v>407672</v>
      </c>
      <c r="J15" s="18">
        <v>68305</v>
      </c>
      <c r="K15" s="18">
        <f>K16-K11-K10-K9-K7-K5</f>
        <v>131839</v>
      </c>
      <c r="L15" s="18">
        <f>L16-L13-L11-L9-L8-L7-L5</f>
        <v>250802.77999999619</v>
      </c>
      <c r="M15" s="18">
        <f>M16-M14-M13-M12-M11-M10-M9-M8-M7-M6-M5-M4</f>
        <v>504958</v>
      </c>
      <c r="N15" s="18">
        <f>N16-N11-N9-N8-N7-N5-N4</f>
        <v>210446</v>
      </c>
      <c r="O15" s="18">
        <f>O16-O13-O12-O11-O10-O9-O8-O7-O5-O4</f>
        <v>150938</v>
      </c>
      <c r="P15" s="18">
        <f>P16-P14-P13-P12-P11-P10-P9-P8-P7-P6-P5-P4</f>
        <v>5486562</v>
      </c>
      <c r="Q15" s="18">
        <f t="shared" ref="Q15:AH15" si="3">Q16-Q14-Q13-Q12-Q11-Q10-Q9-Q8-Q7-Q6-Q5-Q4</f>
        <v>989066</v>
      </c>
      <c r="R15" s="18">
        <f t="shared" si="3"/>
        <v>148071</v>
      </c>
      <c r="S15" s="18">
        <f t="shared" si="3"/>
        <v>290453</v>
      </c>
      <c r="T15" s="18">
        <f t="shared" si="3"/>
        <v>509456</v>
      </c>
      <c r="U15" s="18">
        <f t="shared" si="3"/>
        <v>126675</v>
      </c>
      <c r="V15" s="18">
        <f t="shared" si="3"/>
        <v>3034555</v>
      </c>
      <c r="W15" s="18">
        <f t="shared" si="3"/>
        <v>1087303</v>
      </c>
      <c r="X15" s="18">
        <f t="shared" si="3"/>
        <v>644609</v>
      </c>
      <c r="Y15" s="18">
        <f t="shared" si="3"/>
        <v>17320</v>
      </c>
      <c r="Z15" s="18">
        <f t="shared" si="3"/>
        <v>2427682</v>
      </c>
      <c r="AA15" s="18">
        <f t="shared" si="3"/>
        <v>455054</v>
      </c>
      <c r="AB15" s="18">
        <f t="shared" si="3"/>
        <v>229008</v>
      </c>
      <c r="AC15" s="18">
        <f t="shared" si="3"/>
        <v>272731</v>
      </c>
      <c r="AD15" s="18">
        <f t="shared" si="3"/>
        <v>1524208</v>
      </c>
      <c r="AE15" s="18">
        <f t="shared" si="3"/>
        <v>2027493</v>
      </c>
      <c r="AF15" s="18">
        <f t="shared" si="3"/>
        <v>276191</v>
      </c>
      <c r="AG15" s="18">
        <f t="shared" si="3"/>
        <v>1330</v>
      </c>
      <c r="AH15" s="18">
        <f t="shared" si="3"/>
        <v>272586</v>
      </c>
      <c r="AI15" s="18">
        <f t="shared" si="0"/>
        <v>32357024.779999994</v>
      </c>
    </row>
    <row r="16" spans="1:35" x14ac:dyDescent="0.25">
      <c r="A16" s="20" t="s">
        <v>60</v>
      </c>
      <c r="B16" s="21">
        <v>34846</v>
      </c>
      <c r="C16" s="21">
        <v>1284815</v>
      </c>
      <c r="D16" s="21">
        <v>88693161</v>
      </c>
      <c r="E16" s="21">
        <v>3843183</v>
      </c>
      <c r="F16" s="21">
        <v>88175499</v>
      </c>
      <c r="G16" s="21">
        <v>24888639</v>
      </c>
      <c r="H16" s="21">
        <v>43986845</v>
      </c>
      <c r="I16" s="21">
        <v>1202008</v>
      </c>
      <c r="J16" s="21">
        <v>1005472</v>
      </c>
      <c r="K16" s="21">
        <v>188007</v>
      </c>
      <c r="L16" s="21">
        <v>57405911.939999998</v>
      </c>
      <c r="M16" s="21">
        <v>20373411</v>
      </c>
      <c r="N16" s="21">
        <v>623213</v>
      </c>
      <c r="O16" s="21">
        <v>59339619</v>
      </c>
      <c r="P16" s="21">
        <v>195112294</v>
      </c>
      <c r="Q16" s="21">
        <v>48029944</v>
      </c>
      <c r="R16" s="21">
        <v>968884</v>
      </c>
      <c r="S16" s="21">
        <v>5739246</v>
      </c>
      <c r="T16" s="21">
        <v>8224453</v>
      </c>
      <c r="U16" s="21">
        <v>2673645</v>
      </c>
      <c r="V16" s="21">
        <v>224486120</v>
      </c>
      <c r="W16" s="21">
        <v>273552784</v>
      </c>
      <c r="X16" s="21">
        <v>120811288</v>
      </c>
      <c r="Y16" s="21">
        <v>991382</v>
      </c>
      <c r="Z16" s="21">
        <v>63436090</v>
      </c>
      <c r="AA16" s="21">
        <v>4208139</v>
      </c>
      <c r="AB16" s="21">
        <v>25300269</v>
      </c>
      <c r="AC16" s="21">
        <v>28797412</v>
      </c>
      <c r="AD16" s="21">
        <v>58603721</v>
      </c>
      <c r="AE16" s="21">
        <v>5374931</v>
      </c>
      <c r="AF16" s="21">
        <v>39990916</v>
      </c>
      <c r="AG16" s="21">
        <v>190686732</v>
      </c>
      <c r="AH16" s="21">
        <v>17990230</v>
      </c>
      <c r="AI16" s="21">
        <f t="shared" si="0"/>
        <v>1706023109.9400001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5"/>
  <sheetViews>
    <sheetView tabSelected="1" workbookViewId="0">
      <pane xSplit="1" ySplit="5" topLeftCell="CU6" activePane="bottomRight" state="frozen"/>
      <selection pane="topRight" activeCell="B1" sqref="B1"/>
      <selection pane="bottomLeft" activeCell="A6" sqref="A6"/>
      <selection pane="bottomRight" activeCell="CX9" sqref="CX9"/>
    </sheetView>
  </sheetViews>
  <sheetFormatPr defaultRowHeight="15" x14ac:dyDescent="0.25"/>
  <cols>
    <col min="1" max="1" width="45.140625" customWidth="1"/>
    <col min="2" max="27" width="12.7109375" customWidth="1"/>
    <col min="28" max="28" width="13.85546875" bestFit="1" customWidth="1"/>
    <col min="29" max="166" width="12.7109375" customWidth="1"/>
  </cols>
  <sheetData>
    <row r="1" spans="1:166" ht="18.75" x14ac:dyDescent="0.3">
      <c r="A1" s="98" t="s">
        <v>243</v>
      </c>
      <c r="B1" s="99"/>
      <c r="C1" s="100"/>
      <c r="D1" s="100"/>
      <c r="E1" s="100"/>
      <c r="F1" s="101"/>
      <c r="G1" s="99"/>
      <c r="H1" s="100"/>
      <c r="I1" s="100"/>
      <c r="J1" s="100"/>
      <c r="K1" s="100"/>
      <c r="L1" s="99"/>
      <c r="M1" s="100"/>
      <c r="N1" s="100"/>
      <c r="O1" s="100"/>
      <c r="P1" s="100"/>
      <c r="Q1" s="99"/>
      <c r="R1" s="4"/>
      <c r="S1" s="4"/>
      <c r="T1" s="100"/>
      <c r="U1" s="102"/>
      <c r="V1" s="99"/>
      <c r="W1" s="4"/>
      <c r="X1" s="4"/>
      <c r="Y1" s="4"/>
      <c r="Z1" s="100"/>
      <c r="AA1" s="99"/>
      <c r="AB1" s="4"/>
      <c r="AC1" s="4"/>
      <c r="AD1" s="4"/>
      <c r="AE1" s="100"/>
      <c r="AF1" s="100"/>
      <c r="AG1" s="100"/>
      <c r="AH1" s="100"/>
      <c r="AI1" s="100"/>
      <c r="AJ1" s="100"/>
      <c r="AK1" s="103"/>
      <c r="AL1" s="100"/>
      <c r="AM1" s="100"/>
      <c r="AN1" s="100"/>
      <c r="AO1" s="100"/>
      <c r="AP1" s="99"/>
      <c r="AQ1" s="100"/>
      <c r="AR1" s="100"/>
      <c r="AS1" s="100"/>
      <c r="AT1" s="100"/>
      <c r="AU1" s="4"/>
      <c r="AV1" s="100"/>
      <c r="AW1" s="100"/>
      <c r="AX1" s="100"/>
      <c r="AY1" s="100"/>
      <c r="AZ1" s="99"/>
      <c r="BA1" s="100"/>
      <c r="BB1" s="100"/>
      <c r="BC1" s="100"/>
      <c r="BD1" s="100"/>
      <c r="BE1" s="99"/>
      <c r="BF1" s="100"/>
      <c r="BG1" s="100"/>
      <c r="BH1" s="100"/>
      <c r="BI1" s="100"/>
      <c r="BJ1" s="99"/>
      <c r="BK1" s="4"/>
      <c r="BL1" s="4"/>
      <c r="BM1" s="4"/>
      <c r="BN1" s="100"/>
      <c r="BO1" s="103"/>
      <c r="BP1" s="100"/>
      <c r="BQ1" s="100"/>
      <c r="BR1" s="100"/>
      <c r="BS1" s="100"/>
      <c r="BT1" s="99"/>
      <c r="BU1" s="4"/>
      <c r="BV1" s="4"/>
      <c r="BW1" s="4"/>
      <c r="BX1" s="100"/>
      <c r="BY1" s="99"/>
      <c r="BZ1" s="4"/>
      <c r="CA1" s="4"/>
      <c r="CB1" s="4"/>
      <c r="CC1" s="100"/>
      <c r="CD1" s="99"/>
      <c r="CE1" s="4"/>
      <c r="CF1" s="4"/>
      <c r="CG1" s="4"/>
      <c r="CH1" s="102"/>
      <c r="CI1" s="99"/>
      <c r="CJ1" s="4"/>
      <c r="CK1" s="4"/>
      <c r="CL1" s="4"/>
      <c r="CM1" s="100"/>
      <c r="CN1" s="99"/>
      <c r="CO1" s="4"/>
      <c r="CP1" s="4"/>
      <c r="CQ1" s="4"/>
      <c r="CR1" s="100"/>
      <c r="CS1" s="99"/>
      <c r="CT1" s="4"/>
      <c r="CU1" s="4"/>
      <c r="CV1" s="4"/>
      <c r="CW1" s="102"/>
      <c r="CX1" s="100"/>
      <c r="CY1" s="100"/>
      <c r="CZ1" s="100"/>
      <c r="DA1" s="100"/>
      <c r="DB1" s="100"/>
      <c r="DC1" s="99"/>
      <c r="DD1" s="100"/>
      <c r="DE1" s="100"/>
      <c r="DF1" s="100"/>
      <c r="DG1" s="100"/>
      <c r="DH1" s="100"/>
      <c r="DI1" s="4"/>
      <c r="DJ1" s="4"/>
      <c r="DK1" s="4"/>
      <c r="DL1" s="100"/>
      <c r="DM1" s="99"/>
      <c r="DN1" s="100"/>
      <c r="DO1" s="100"/>
      <c r="DP1" s="100"/>
      <c r="DQ1" s="100"/>
      <c r="DR1" s="103"/>
      <c r="DS1" s="100"/>
      <c r="DT1" s="100"/>
      <c r="DU1" s="100"/>
      <c r="DV1" s="100"/>
      <c r="DW1" s="103"/>
      <c r="DX1" s="100"/>
      <c r="DY1" s="100"/>
      <c r="DZ1" s="100"/>
      <c r="EA1" s="100"/>
      <c r="EB1" s="99"/>
      <c r="EC1" s="4"/>
      <c r="ED1" s="4"/>
      <c r="EE1" s="4"/>
      <c r="EF1" s="100"/>
      <c r="EG1" s="99"/>
      <c r="EH1" s="100"/>
      <c r="EI1" s="100"/>
      <c r="EJ1" s="100"/>
      <c r="EK1" s="100"/>
      <c r="EL1" s="99"/>
      <c r="EM1" s="100"/>
      <c r="EN1" s="100"/>
      <c r="EO1" s="100"/>
      <c r="EP1" s="100"/>
      <c r="EQ1" s="99"/>
      <c r="ER1" s="100"/>
      <c r="ES1" s="100"/>
      <c r="ET1" s="100"/>
      <c r="EU1" s="100"/>
      <c r="EV1" s="103"/>
      <c r="EW1" s="100"/>
      <c r="EX1" s="100"/>
      <c r="EY1" s="100"/>
      <c r="EZ1" s="100"/>
      <c r="FA1" s="4"/>
      <c r="FB1" s="4"/>
      <c r="FC1" s="4"/>
      <c r="FD1" s="4"/>
      <c r="FE1" s="100"/>
      <c r="FF1" s="99"/>
      <c r="FG1" s="4"/>
      <c r="FH1" s="4"/>
      <c r="FI1" s="4"/>
      <c r="FJ1" s="100"/>
    </row>
    <row r="2" spans="1:166" x14ac:dyDescent="0.25">
      <c r="A2" s="100" t="s">
        <v>244</v>
      </c>
      <c r="B2" s="99"/>
      <c r="C2" s="100"/>
      <c r="D2" s="100"/>
      <c r="E2" s="100"/>
      <c r="F2" s="101"/>
      <c r="G2" s="99"/>
      <c r="H2" s="100"/>
      <c r="I2" s="100"/>
      <c r="J2" s="100"/>
      <c r="K2" s="100"/>
      <c r="L2" s="99"/>
      <c r="M2" s="100"/>
      <c r="N2" s="100"/>
      <c r="O2" s="100"/>
      <c r="P2" s="100"/>
      <c r="Q2" s="99"/>
      <c r="R2" s="4"/>
      <c r="S2" s="4"/>
      <c r="T2" s="100"/>
      <c r="U2" s="102"/>
      <c r="V2" s="99"/>
      <c r="W2" s="4"/>
      <c r="X2" s="4"/>
      <c r="Y2" s="4"/>
      <c r="Z2" s="100"/>
      <c r="AA2" s="99"/>
      <c r="AB2" s="4"/>
      <c r="AC2" s="4"/>
      <c r="AD2" s="4"/>
      <c r="AE2" s="100"/>
      <c r="AF2" s="100"/>
      <c r="AG2" s="100"/>
      <c r="AH2" s="100"/>
      <c r="AI2" s="100"/>
      <c r="AJ2" s="100"/>
      <c r="AK2" s="103"/>
      <c r="AL2" s="100"/>
      <c r="AM2" s="100"/>
      <c r="AN2" s="100"/>
      <c r="AO2" s="100"/>
      <c r="AP2" s="99"/>
      <c r="AQ2" s="100"/>
      <c r="AR2" s="100"/>
      <c r="AS2" s="100"/>
      <c r="AT2" s="100"/>
      <c r="AU2" s="4"/>
      <c r="AV2" s="100"/>
      <c r="AW2" s="100"/>
      <c r="AX2" s="100"/>
      <c r="AY2" s="100"/>
      <c r="AZ2" s="99"/>
      <c r="BA2" s="100"/>
      <c r="BB2" s="100"/>
      <c r="BC2" s="100"/>
      <c r="BD2" s="100"/>
      <c r="BE2" s="99"/>
      <c r="BF2" s="100"/>
      <c r="BG2" s="100"/>
      <c r="BH2" s="100"/>
      <c r="BI2" s="100"/>
      <c r="BJ2" s="99"/>
      <c r="BK2" s="4"/>
      <c r="BL2" s="4"/>
      <c r="BM2" s="4"/>
      <c r="BN2" s="100"/>
      <c r="BO2" s="103"/>
      <c r="BP2" s="100"/>
      <c r="BQ2" s="100"/>
      <c r="BR2" s="100"/>
      <c r="BS2" s="100"/>
      <c r="BT2" s="99"/>
      <c r="BU2" s="4"/>
      <c r="BV2" s="4"/>
      <c r="BW2" s="4"/>
      <c r="BX2" s="100"/>
      <c r="BY2" s="99"/>
      <c r="BZ2" s="4"/>
      <c r="CA2" s="4"/>
      <c r="CB2" s="4"/>
      <c r="CC2" s="100"/>
      <c r="CD2" s="99"/>
      <c r="CE2" s="4"/>
      <c r="CF2" s="4"/>
      <c r="CG2" s="4"/>
      <c r="CH2" s="100"/>
      <c r="CI2" s="99"/>
      <c r="CJ2" s="4"/>
      <c r="CK2" s="4"/>
      <c r="CL2" s="4"/>
      <c r="CM2" s="100"/>
      <c r="CN2" s="99"/>
      <c r="CO2" s="4"/>
      <c r="CP2" s="4"/>
      <c r="CQ2" s="4"/>
      <c r="CR2" s="100"/>
      <c r="CS2" s="99"/>
      <c r="CT2" s="4"/>
      <c r="CU2" s="4"/>
      <c r="CV2" s="4"/>
      <c r="CW2" s="102"/>
      <c r="CX2" s="100"/>
      <c r="CY2" s="100"/>
      <c r="CZ2" s="100"/>
      <c r="DA2" s="100"/>
      <c r="DB2" s="100"/>
      <c r="DC2" s="99"/>
      <c r="DD2" s="100"/>
      <c r="DE2" s="100"/>
      <c r="DF2" s="100"/>
      <c r="DG2" s="100"/>
      <c r="DH2" s="100"/>
      <c r="DI2" s="4"/>
      <c r="DJ2" s="4"/>
      <c r="DK2" s="4"/>
      <c r="DL2" s="100"/>
      <c r="DM2" s="99"/>
      <c r="DN2" s="100"/>
      <c r="DO2" s="100"/>
      <c r="DP2" s="100"/>
      <c r="DQ2" s="100"/>
      <c r="DR2" s="103"/>
      <c r="DS2" s="100"/>
      <c r="DT2" s="100"/>
      <c r="DU2" s="100"/>
      <c r="DV2" s="100"/>
      <c r="DW2" s="103"/>
      <c r="DX2" s="100"/>
      <c r="DY2" s="100"/>
      <c r="DZ2" s="100"/>
      <c r="EA2" s="100"/>
      <c r="EB2" s="99"/>
      <c r="EC2" s="4"/>
      <c r="ED2" s="4"/>
      <c r="EE2" s="4"/>
      <c r="EF2" s="100"/>
      <c r="EG2" s="99"/>
      <c r="EH2" s="100"/>
      <c r="EI2" s="100"/>
      <c r="EJ2" s="100"/>
      <c r="EK2" s="100"/>
      <c r="EL2" s="99"/>
      <c r="EM2" s="100"/>
      <c r="EN2" s="100"/>
      <c r="EO2" s="100"/>
      <c r="EP2" s="100"/>
      <c r="EQ2" s="99"/>
      <c r="ER2" s="100"/>
      <c r="ES2" s="100"/>
      <c r="ET2" s="100"/>
      <c r="EU2" s="100"/>
      <c r="EV2" s="103"/>
      <c r="EW2" s="100"/>
      <c r="EX2" s="100"/>
      <c r="EY2" s="100"/>
      <c r="EZ2" s="100"/>
      <c r="FA2" s="4"/>
      <c r="FB2" s="4"/>
      <c r="FC2" s="4"/>
      <c r="FD2" s="4"/>
      <c r="FE2" s="100"/>
      <c r="FF2" s="99"/>
      <c r="FG2" s="4"/>
      <c r="FH2" s="4"/>
      <c r="FI2" s="4"/>
      <c r="FJ2" s="100"/>
    </row>
    <row r="3" spans="1:166" x14ac:dyDescent="0.25">
      <c r="A3" s="104"/>
      <c r="B3" s="171" t="s">
        <v>1</v>
      </c>
      <c r="C3" s="171"/>
      <c r="D3" s="171"/>
      <c r="E3" s="171"/>
      <c r="F3" s="171"/>
      <c r="G3" s="171" t="s">
        <v>2</v>
      </c>
      <c r="H3" s="171"/>
      <c r="I3" s="171"/>
      <c r="J3" s="171"/>
      <c r="K3" s="171"/>
      <c r="L3" s="171" t="s">
        <v>3</v>
      </c>
      <c r="M3" s="171"/>
      <c r="N3" s="171"/>
      <c r="O3" s="171"/>
      <c r="P3" s="171"/>
      <c r="Q3" s="171" t="s">
        <v>4</v>
      </c>
      <c r="R3" s="171"/>
      <c r="S3" s="171"/>
      <c r="T3" s="171"/>
      <c r="U3" s="171"/>
      <c r="V3" s="171" t="s">
        <v>5</v>
      </c>
      <c r="W3" s="171"/>
      <c r="X3" s="171"/>
      <c r="Y3" s="171"/>
      <c r="Z3" s="171"/>
      <c r="AA3" s="171" t="s">
        <v>6</v>
      </c>
      <c r="AB3" s="171"/>
      <c r="AC3" s="171"/>
      <c r="AD3" s="171"/>
      <c r="AE3" s="171"/>
      <c r="AF3" s="171" t="s">
        <v>7</v>
      </c>
      <c r="AG3" s="171"/>
      <c r="AH3" s="171"/>
      <c r="AI3" s="171"/>
      <c r="AJ3" s="171"/>
      <c r="AK3" s="171" t="s">
        <v>8</v>
      </c>
      <c r="AL3" s="171"/>
      <c r="AM3" s="171"/>
      <c r="AN3" s="171"/>
      <c r="AO3" s="171"/>
      <c r="AP3" s="171" t="s">
        <v>9</v>
      </c>
      <c r="AQ3" s="171"/>
      <c r="AR3" s="171"/>
      <c r="AS3" s="171"/>
      <c r="AT3" s="171"/>
      <c r="AU3" s="171" t="s">
        <v>10</v>
      </c>
      <c r="AV3" s="171"/>
      <c r="AW3" s="171"/>
      <c r="AX3" s="171"/>
      <c r="AY3" s="171"/>
      <c r="AZ3" s="171" t="s">
        <v>11</v>
      </c>
      <c r="BA3" s="171"/>
      <c r="BB3" s="171"/>
      <c r="BC3" s="171"/>
      <c r="BD3" s="171"/>
      <c r="BE3" s="171" t="s">
        <v>12</v>
      </c>
      <c r="BF3" s="171"/>
      <c r="BG3" s="171"/>
      <c r="BH3" s="171"/>
      <c r="BI3" s="171"/>
      <c r="BJ3" s="171" t="s">
        <v>13</v>
      </c>
      <c r="BK3" s="171"/>
      <c r="BL3" s="171"/>
      <c r="BM3" s="171"/>
      <c r="BN3" s="171"/>
      <c r="BO3" s="171" t="s">
        <v>14</v>
      </c>
      <c r="BP3" s="171"/>
      <c r="BQ3" s="171"/>
      <c r="BR3" s="171"/>
      <c r="BS3" s="171"/>
      <c r="BT3" s="171" t="s">
        <v>15</v>
      </c>
      <c r="BU3" s="171"/>
      <c r="BV3" s="171"/>
      <c r="BW3" s="171"/>
      <c r="BX3" s="171"/>
      <c r="BY3" s="171" t="s">
        <v>16</v>
      </c>
      <c r="BZ3" s="171"/>
      <c r="CA3" s="171"/>
      <c r="CB3" s="171"/>
      <c r="CC3" s="171"/>
      <c r="CD3" s="171" t="s">
        <v>17</v>
      </c>
      <c r="CE3" s="171"/>
      <c r="CF3" s="171"/>
      <c r="CG3" s="171"/>
      <c r="CH3" s="171"/>
      <c r="CI3" s="171" t="s">
        <v>18</v>
      </c>
      <c r="CJ3" s="171"/>
      <c r="CK3" s="171"/>
      <c r="CL3" s="171"/>
      <c r="CM3" s="171"/>
      <c r="CN3" s="171" t="s">
        <v>19</v>
      </c>
      <c r="CO3" s="171"/>
      <c r="CP3" s="171"/>
      <c r="CQ3" s="171"/>
      <c r="CR3" s="171"/>
      <c r="CS3" s="171" t="s">
        <v>20</v>
      </c>
      <c r="CT3" s="171"/>
      <c r="CU3" s="171"/>
      <c r="CV3" s="171"/>
      <c r="CW3" s="171"/>
      <c r="CX3" s="171" t="s">
        <v>21</v>
      </c>
      <c r="CY3" s="171"/>
      <c r="CZ3" s="171"/>
      <c r="DA3" s="171"/>
      <c r="DB3" s="171"/>
      <c r="DC3" s="171" t="s">
        <v>109</v>
      </c>
      <c r="DD3" s="171"/>
      <c r="DE3" s="171"/>
      <c r="DF3" s="171"/>
      <c r="DG3" s="171"/>
      <c r="DH3" s="171" t="s">
        <v>110</v>
      </c>
      <c r="DI3" s="171"/>
      <c r="DJ3" s="171"/>
      <c r="DK3" s="171"/>
      <c r="DL3" s="171"/>
      <c r="DM3" s="171" t="s">
        <v>22</v>
      </c>
      <c r="DN3" s="171"/>
      <c r="DO3" s="171"/>
      <c r="DP3" s="171"/>
      <c r="DQ3" s="171"/>
      <c r="DR3" s="171" t="s">
        <v>23</v>
      </c>
      <c r="DS3" s="171"/>
      <c r="DT3" s="171"/>
      <c r="DU3" s="171"/>
      <c r="DV3" s="171"/>
      <c r="DW3" s="171" t="s">
        <v>24</v>
      </c>
      <c r="DX3" s="171"/>
      <c r="DY3" s="171"/>
      <c r="DZ3" s="171"/>
      <c r="EA3" s="171"/>
      <c r="EB3" s="171" t="s">
        <v>25</v>
      </c>
      <c r="EC3" s="171"/>
      <c r="ED3" s="171"/>
      <c r="EE3" s="171"/>
      <c r="EF3" s="171"/>
      <c r="EG3" s="171" t="s">
        <v>26</v>
      </c>
      <c r="EH3" s="171"/>
      <c r="EI3" s="171"/>
      <c r="EJ3" s="171"/>
      <c r="EK3" s="171"/>
      <c r="EL3" s="171" t="s">
        <v>27</v>
      </c>
      <c r="EM3" s="171"/>
      <c r="EN3" s="171"/>
      <c r="EO3" s="171"/>
      <c r="EP3" s="171"/>
      <c r="EQ3" s="171" t="s">
        <v>28</v>
      </c>
      <c r="ER3" s="171"/>
      <c r="ES3" s="171"/>
      <c r="ET3" s="171"/>
      <c r="EU3" s="171"/>
      <c r="EV3" s="171" t="s">
        <v>29</v>
      </c>
      <c r="EW3" s="171"/>
      <c r="EX3" s="171"/>
      <c r="EY3" s="171"/>
      <c r="EZ3" s="171"/>
      <c r="FA3" s="171" t="s">
        <v>30</v>
      </c>
      <c r="FB3" s="171"/>
      <c r="FC3" s="171"/>
      <c r="FD3" s="171"/>
      <c r="FE3" s="171"/>
      <c r="FF3" s="171" t="s">
        <v>31</v>
      </c>
      <c r="FG3" s="171"/>
      <c r="FH3" s="171"/>
      <c r="FI3" s="171"/>
      <c r="FJ3" s="171"/>
    </row>
    <row r="4" spans="1:166" ht="15" customHeight="1" x14ac:dyDescent="0.25">
      <c r="A4" s="172" t="s">
        <v>245</v>
      </c>
      <c r="B4" s="173" t="s">
        <v>246</v>
      </c>
      <c r="C4" s="172" t="s">
        <v>247</v>
      </c>
      <c r="D4" s="172"/>
      <c r="E4" s="172"/>
      <c r="F4" s="174" t="s">
        <v>248</v>
      </c>
      <c r="G4" s="173" t="s">
        <v>246</v>
      </c>
      <c r="H4" s="172" t="s">
        <v>247</v>
      </c>
      <c r="I4" s="172"/>
      <c r="J4" s="172"/>
      <c r="K4" s="172" t="s">
        <v>248</v>
      </c>
      <c r="L4" s="173" t="s">
        <v>246</v>
      </c>
      <c r="M4" s="172" t="s">
        <v>247</v>
      </c>
      <c r="N4" s="172"/>
      <c r="O4" s="172"/>
      <c r="P4" s="172" t="s">
        <v>248</v>
      </c>
      <c r="Q4" s="173" t="s">
        <v>246</v>
      </c>
      <c r="R4" s="172" t="s">
        <v>247</v>
      </c>
      <c r="S4" s="172"/>
      <c r="T4" s="172"/>
      <c r="U4" s="175" t="s">
        <v>248</v>
      </c>
      <c r="V4" s="173" t="s">
        <v>246</v>
      </c>
      <c r="W4" s="173" t="s">
        <v>247</v>
      </c>
      <c r="X4" s="173"/>
      <c r="Y4" s="173"/>
      <c r="Z4" s="172" t="s">
        <v>248</v>
      </c>
      <c r="AA4" s="173" t="s">
        <v>246</v>
      </c>
      <c r="AB4" s="173" t="s">
        <v>247</v>
      </c>
      <c r="AC4" s="173"/>
      <c r="AD4" s="173"/>
      <c r="AE4" s="172" t="s">
        <v>248</v>
      </c>
      <c r="AF4" s="173" t="s">
        <v>246</v>
      </c>
      <c r="AG4" s="173" t="s">
        <v>247</v>
      </c>
      <c r="AH4" s="173"/>
      <c r="AI4" s="173"/>
      <c r="AJ4" s="172" t="s">
        <v>248</v>
      </c>
      <c r="AK4" s="173" t="s">
        <v>246</v>
      </c>
      <c r="AL4" s="173" t="s">
        <v>247</v>
      </c>
      <c r="AM4" s="173"/>
      <c r="AN4" s="173"/>
      <c r="AO4" s="172" t="s">
        <v>248</v>
      </c>
      <c r="AP4" s="173" t="s">
        <v>246</v>
      </c>
      <c r="AQ4" s="173" t="s">
        <v>247</v>
      </c>
      <c r="AR4" s="173"/>
      <c r="AS4" s="173"/>
      <c r="AT4" s="172" t="s">
        <v>248</v>
      </c>
      <c r="AU4" s="173" t="s">
        <v>246</v>
      </c>
      <c r="AV4" s="173" t="s">
        <v>247</v>
      </c>
      <c r="AW4" s="173"/>
      <c r="AX4" s="173"/>
      <c r="AY4" s="172" t="s">
        <v>248</v>
      </c>
      <c r="AZ4" s="173" t="s">
        <v>246</v>
      </c>
      <c r="BA4" s="173" t="s">
        <v>247</v>
      </c>
      <c r="BB4" s="173"/>
      <c r="BC4" s="173"/>
      <c r="BD4" s="172" t="s">
        <v>248</v>
      </c>
      <c r="BE4" s="173" t="s">
        <v>246</v>
      </c>
      <c r="BF4" s="173" t="s">
        <v>247</v>
      </c>
      <c r="BG4" s="173"/>
      <c r="BH4" s="173"/>
      <c r="BI4" s="172" t="s">
        <v>248</v>
      </c>
      <c r="BJ4" s="173" t="s">
        <v>246</v>
      </c>
      <c r="BK4" s="173" t="s">
        <v>247</v>
      </c>
      <c r="BL4" s="173"/>
      <c r="BM4" s="173"/>
      <c r="BN4" s="172" t="s">
        <v>248</v>
      </c>
      <c r="BO4" s="173" t="s">
        <v>246</v>
      </c>
      <c r="BP4" s="173" t="s">
        <v>247</v>
      </c>
      <c r="BQ4" s="173"/>
      <c r="BR4" s="173"/>
      <c r="BS4" s="172" t="s">
        <v>248</v>
      </c>
      <c r="BT4" s="173" t="s">
        <v>246</v>
      </c>
      <c r="BU4" s="173" t="s">
        <v>247</v>
      </c>
      <c r="BV4" s="173"/>
      <c r="BW4" s="173"/>
      <c r="BX4" s="172" t="s">
        <v>248</v>
      </c>
      <c r="BY4" s="173" t="s">
        <v>246</v>
      </c>
      <c r="BZ4" s="173" t="s">
        <v>247</v>
      </c>
      <c r="CA4" s="173"/>
      <c r="CB4" s="173"/>
      <c r="CC4" s="172" t="s">
        <v>248</v>
      </c>
      <c r="CD4" s="173" t="s">
        <v>246</v>
      </c>
      <c r="CE4" s="173" t="s">
        <v>247</v>
      </c>
      <c r="CF4" s="173"/>
      <c r="CG4" s="173"/>
      <c r="CH4" s="172" t="s">
        <v>248</v>
      </c>
      <c r="CI4" s="173" t="s">
        <v>246</v>
      </c>
      <c r="CJ4" s="173" t="s">
        <v>247</v>
      </c>
      <c r="CK4" s="173"/>
      <c r="CL4" s="173"/>
      <c r="CM4" s="172" t="s">
        <v>248</v>
      </c>
      <c r="CN4" s="173" t="s">
        <v>246</v>
      </c>
      <c r="CO4" s="173" t="s">
        <v>247</v>
      </c>
      <c r="CP4" s="173"/>
      <c r="CQ4" s="173"/>
      <c r="CR4" s="172" t="s">
        <v>248</v>
      </c>
      <c r="CS4" s="173" t="s">
        <v>246</v>
      </c>
      <c r="CT4" s="173" t="s">
        <v>247</v>
      </c>
      <c r="CU4" s="173"/>
      <c r="CV4" s="173"/>
      <c r="CW4" s="175" t="s">
        <v>248</v>
      </c>
      <c r="CX4" s="173" t="s">
        <v>246</v>
      </c>
      <c r="CY4" s="173" t="s">
        <v>247</v>
      </c>
      <c r="CZ4" s="173"/>
      <c r="DA4" s="173"/>
      <c r="DB4" s="175" t="s">
        <v>248</v>
      </c>
      <c r="DC4" s="173" t="s">
        <v>246</v>
      </c>
      <c r="DD4" s="173" t="s">
        <v>247</v>
      </c>
      <c r="DE4" s="173"/>
      <c r="DF4" s="173"/>
      <c r="DG4" s="175" t="s">
        <v>248</v>
      </c>
      <c r="DH4" s="173" t="s">
        <v>246</v>
      </c>
      <c r="DI4" s="173" t="s">
        <v>247</v>
      </c>
      <c r="DJ4" s="173"/>
      <c r="DK4" s="173"/>
      <c r="DL4" s="175" t="s">
        <v>248</v>
      </c>
      <c r="DM4" s="173" t="s">
        <v>246</v>
      </c>
      <c r="DN4" s="173" t="s">
        <v>247</v>
      </c>
      <c r="DO4" s="173"/>
      <c r="DP4" s="173"/>
      <c r="DQ4" s="175" t="s">
        <v>248</v>
      </c>
      <c r="DR4" s="173" t="s">
        <v>246</v>
      </c>
      <c r="DS4" s="173" t="s">
        <v>247</v>
      </c>
      <c r="DT4" s="173"/>
      <c r="DU4" s="173"/>
      <c r="DV4" s="175" t="s">
        <v>248</v>
      </c>
      <c r="DW4" s="173" t="s">
        <v>246</v>
      </c>
      <c r="DX4" s="173" t="s">
        <v>247</v>
      </c>
      <c r="DY4" s="173"/>
      <c r="DZ4" s="173"/>
      <c r="EA4" s="175" t="s">
        <v>248</v>
      </c>
      <c r="EB4" s="173" t="s">
        <v>246</v>
      </c>
      <c r="EC4" s="173" t="s">
        <v>247</v>
      </c>
      <c r="ED4" s="173"/>
      <c r="EE4" s="173"/>
      <c r="EF4" s="175" t="s">
        <v>248</v>
      </c>
      <c r="EG4" s="173" t="s">
        <v>246</v>
      </c>
      <c r="EH4" s="173" t="s">
        <v>247</v>
      </c>
      <c r="EI4" s="173"/>
      <c r="EJ4" s="173"/>
      <c r="EK4" s="175" t="s">
        <v>248</v>
      </c>
      <c r="EL4" s="173" t="s">
        <v>246</v>
      </c>
      <c r="EM4" s="173" t="s">
        <v>247</v>
      </c>
      <c r="EN4" s="173"/>
      <c r="EO4" s="173"/>
      <c r="EP4" s="175" t="s">
        <v>248</v>
      </c>
      <c r="EQ4" s="173" t="s">
        <v>246</v>
      </c>
      <c r="ER4" s="173" t="s">
        <v>247</v>
      </c>
      <c r="ES4" s="173"/>
      <c r="ET4" s="173"/>
      <c r="EU4" s="175" t="s">
        <v>248</v>
      </c>
      <c r="EV4" s="173" t="s">
        <v>246</v>
      </c>
      <c r="EW4" s="173" t="s">
        <v>247</v>
      </c>
      <c r="EX4" s="173"/>
      <c r="EY4" s="173"/>
      <c r="EZ4" s="175" t="s">
        <v>248</v>
      </c>
      <c r="FA4" s="173" t="s">
        <v>246</v>
      </c>
      <c r="FB4" s="173" t="s">
        <v>247</v>
      </c>
      <c r="FC4" s="173"/>
      <c r="FD4" s="173"/>
      <c r="FE4" s="175" t="s">
        <v>248</v>
      </c>
      <c r="FF4" s="173" t="s">
        <v>246</v>
      </c>
      <c r="FG4" s="173" t="s">
        <v>247</v>
      </c>
      <c r="FH4" s="173"/>
      <c r="FI4" s="173"/>
      <c r="FJ4" s="175" t="s">
        <v>248</v>
      </c>
    </row>
    <row r="5" spans="1:166" ht="30" x14ac:dyDescent="0.25">
      <c r="A5" s="172"/>
      <c r="B5" s="173"/>
      <c r="C5" s="105" t="s">
        <v>249</v>
      </c>
      <c r="D5" s="105" t="s">
        <v>250</v>
      </c>
      <c r="E5" s="105" t="s">
        <v>251</v>
      </c>
      <c r="F5" s="174"/>
      <c r="G5" s="173"/>
      <c r="H5" s="105" t="s">
        <v>249</v>
      </c>
      <c r="I5" s="105" t="s">
        <v>250</v>
      </c>
      <c r="J5" s="105" t="s">
        <v>251</v>
      </c>
      <c r="K5" s="172"/>
      <c r="L5" s="173"/>
      <c r="M5" s="105" t="s">
        <v>249</v>
      </c>
      <c r="N5" s="105" t="s">
        <v>250</v>
      </c>
      <c r="O5" s="105" t="s">
        <v>251</v>
      </c>
      <c r="P5" s="172"/>
      <c r="Q5" s="173"/>
      <c r="R5" s="40" t="s">
        <v>249</v>
      </c>
      <c r="S5" s="40" t="s">
        <v>250</v>
      </c>
      <c r="T5" s="105" t="s">
        <v>251</v>
      </c>
      <c r="U5" s="175"/>
      <c r="V5" s="173"/>
      <c r="W5" s="40" t="s">
        <v>249</v>
      </c>
      <c r="X5" s="40" t="s">
        <v>250</v>
      </c>
      <c r="Y5" s="40" t="s">
        <v>251</v>
      </c>
      <c r="Z5" s="172"/>
      <c r="AA5" s="173"/>
      <c r="AB5" s="40" t="s">
        <v>249</v>
      </c>
      <c r="AC5" s="40" t="s">
        <v>250</v>
      </c>
      <c r="AD5" s="40" t="s">
        <v>251</v>
      </c>
      <c r="AE5" s="172"/>
      <c r="AF5" s="173"/>
      <c r="AG5" s="40" t="s">
        <v>249</v>
      </c>
      <c r="AH5" s="40" t="s">
        <v>250</v>
      </c>
      <c r="AI5" s="40" t="s">
        <v>251</v>
      </c>
      <c r="AJ5" s="172"/>
      <c r="AK5" s="173"/>
      <c r="AL5" s="40" t="s">
        <v>249</v>
      </c>
      <c r="AM5" s="40" t="s">
        <v>250</v>
      </c>
      <c r="AN5" s="40" t="s">
        <v>251</v>
      </c>
      <c r="AO5" s="172"/>
      <c r="AP5" s="173"/>
      <c r="AQ5" s="40" t="s">
        <v>249</v>
      </c>
      <c r="AR5" s="40" t="s">
        <v>250</v>
      </c>
      <c r="AS5" s="40" t="s">
        <v>251</v>
      </c>
      <c r="AT5" s="172"/>
      <c r="AU5" s="173"/>
      <c r="AV5" s="40" t="s">
        <v>249</v>
      </c>
      <c r="AW5" s="40" t="s">
        <v>250</v>
      </c>
      <c r="AX5" s="40" t="s">
        <v>251</v>
      </c>
      <c r="AY5" s="172"/>
      <c r="AZ5" s="173"/>
      <c r="BA5" s="40" t="s">
        <v>249</v>
      </c>
      <c r="BB5" s="40" t="s">
        <v>250</v>
      </c>
      <c r="BC5" s="40" t="s">
        <v>251</v>
      </c>
      <c r="BD5" s="172"/>
      <c r="BE5" s="173"/>
      <c r="BF5" s="40" t="s">
        <v>249</v>
      </c>
      <c r="BG5" s="40" t="s">
        <v>250</v>
      </c>
      <c r="BH5" s="40" t="s">
        <v>251</v>
      </c>
      <c r="BI5" s="172"/>
      <c r="BJ5" s="173"/>
      <c r="BK5" s="40" t="s">
        <v>249</v>
      </c>
      <c r="BL5" s="40" t="s">
        <v>250</v>
      </c>
      <c r="BM5" s="40" t="s">
        <v>251</v>
      </c>
      <c r="BN5" s="172"/>
      <c r="BO5" s="173"/>
      <c r="BP5" s="40" t="s">
        <v>249</v>
      </c>
      <c r="BQ5" s="40" t="s">
        <v>250</v>
      </c>
      <c r="BR5" s="40" t="s">
        <v>251</v>
      </c>
      <c r="BS5" s="172"/>
      <c r="BT5" s="173"/>
      <c r="BU5" s="40" t="s">
        <v>249</v>
      </c>
      <c r="BV5" s="40" t="s">
        <v>250</v>
      </c>
      <c r="BW5" s="40" t="s">
        <v>251</v>
      </c>
      <c r="BX5" s="172"/>
      <c r="BY5" s="173"/>
      <c r="BZ5" s="40" t="s">
        <v>249</v>
      </c>
      <c r="CA5" s="40" t="s">
        <v>250</v>
      </c>
      <c r="CB5" s="40" t="s">
        <v>251</v>
      </c>
      <c r="CC5" s="172"/>
      <c r="CD5" s="173"/>
      <c r="CE5" s="40" t="s">
        <v>249</v>
      </c>
      <c r="CF5" s="40" t="s">
        <v>250</v>
      </c>
      <c r="CG5" s="40" t="s">
        <v>251</v>
      </c>
      <c r="CH5" s="172"/>
      <c r="CI5" s="173"/>
      <c r="CJ5" s="40" t="s">
        <v>249</v>
      </c>
      <c r="CK5" s="40" t="s">
        <v>250</v>
      </c>
      <c r="CL5" s="40" t="s">
        <v>251</v>
      </c>
      <c r="CM5" s="172"/>
      <c r="CN5" s="173"/>
      <c r="CO5" s="40" t="s">
        <v>249</v>
      </c>
      <c r="CP5" s="40" t="s">
        <v>250</v>
      </c>
      <c r="CQ5" s="40" t="s">
        <v>251</v>
      </c>
      <c r="CR5" s="172"/>
      <c r="CS5" s="173"/>
      <c r="CT5" s="40" t="s">
        <v>249</v>
      </c>
      <c r="CU5" s="40" t="s">
        <v>250</v>
      </c>
      <c r="CV5" s="40" t="s">
        <v>251</v>
      </c>
      <c r="CW5" s="175"/>
      <c r="CX5" s="173"/>
      <c r="CY5" s="40" t="s">
        <v>249</v>
      </c>
      <c r="CZ5" s="40" t="s">
        <v>250</v>
      </c>
      <c r="DA5" s="40" t="s">
        <v>251</v>
      </c>
      <c r="DB5" s="175"/>
      <c r="DC5" s="173"/>
      <c r="DD5" s="40" t="s">
        <v>249</v>
      </c>
      <c r="DE5" s="40" t="s">
        <v>250</v>
      </c>
      <c r="DF5" s="40" t="s">
        <v>251</v>
      </c>
      <c r="DG5" s="175"/>
      <c r="DH5" s="173"/>
      <c r="DI5" s="40" t="s">
        <v>249</v>
      </c>
      <c r="DJ5" s="40" t="s">
        <v>250</v>
      </c>
      <c r="DK5" s="40" t="s">
        <v>251</v>
      </c>
      <c r="DL5" s="175"/>
      <c r="DM5" s="173"/>
      <c r="DN5" s="40" t="s">
        <v>249</v>
      </c>
      <c r="DO5" s="40" t="s">
        <v>250</v>
      </c>
      <c r="DP5" s="40" t="s">
        <v>251</v>
      </c>
      <c r="DQ5" s="175"/>
      <c r="DR5" s="173"/>
      <c r="DS5" s="40" t="s">
        <v>249</v>
      </c>
      <c r="DT5" s="40" t="s">
        <v>250</v>
      </c>
      <c r="DU5" s="40" t="s">
        <v>251</v>
      </c>
      <c r="DV5" s="175"/>
      <c r="DW5" s="173"/>
      <c r="DX5" s="40" t="s">
        <v>249</v>
      </c>
      <c r="DY5" s="40" t="s">
        <v>250</v>
      </c>
      <c r="DZ5" s="40" t="s">
        <v>251</v>
      </c>
      <c r="EA5" s="175"/>
      <c r="EB5" s="173"/>
      <c r="EC5" s="40" t="s">
        <v>249</v>
      </c>
      <c r="ED5" s="40" t="s">
        <v>250</v>
      </c>
      <c r="EE5" s="40" t="s">
        <v>251</v>
      </c>
      <c r="EF5" s="175"/>
      <c r="EG5" s="173"/>
      <c r="EH5" s="40" t="s">
        <v>249</v>
      </c>
      <c r="EI5" s="40" t="s">
        <v>250</v>
      </c>
      <c r="EJ5" s="40" t="s">
        <v>251</v>
      </c>
      <c r="EK5" s="175"/>
      <c r="EL5" s="173"/>
      <c r="EM5" s="40" t="s">
        <v>249</v>
      </c>
      <c r="EN5" s="40" t="s">
        <v>250</v>
      </c>
      <c r="EO5" s="40" t="s">
        <v>251</v>
      </c>
      <c r="EP5" s="175"/>
      <c r="EQ5" s="173"/>
      <c r="ER5" s="40" t="s">
        <v>249</v>
      </c>
      <c r="ES5" s="40" t="s">
        <v>250</v>
      </c>
      <c r="ET5" s="40" t="s">
        <v>251</v>
      </c>
      <c r="EU5" s="175"/>
      <c r="EV5" s="173"/>
      <c r="EW5" s="40" t="s">
        <v>249</v>
      </c>
      <c r="EX5" s="40" t="s">
        <v>250</v>
      </c>
      <c r="EY5" s="40" t="s">
        <v>251</v>
      </c>
      <c r="EZ5" s="175"/>
      <c r="FA5" s="173"/>
      <c r="FB5" s="40" t="s">
        <v>249</v>
      </c>
      <c r="FC5" s="40" t="s">
        <v>250</v>
      </c>
      <c r="FD5" s="40" t="s">
        <v>251</v>
      </c>
      <c r="FE5" s="175"/>
      <c r="FF5" s="173"/>
      <c r="FG5" s="40" t="s">
        <v>249</v>
      </c>
      <c r="FH5" s="40" t="s">
        <v>250</v>
      </c>
      <c r="FI5" s="40" t="s">
        <v>251</v>
      </c>
      <c r="FJ5" s="175"/>
    </row>
    <row r="6" spans="1:166" x14ac:dyDescent="0.25">
      <c r="A6" s="44" t="s">
        <v>252</v>
      </c>
      <c r="B6" s="106"/>
      <c r="C6" s="44"/>
      <c r="D6" s="44"/>
      <c r="E6" s="44"/>
      <c r="F6" s="107"/>
      <c r="G6" s="106"/>
      <c r="H6" s="44"/>
      <c r="I6" s="44"/>
      <c r="J6" s="44"/>
      <c r="K6" s="44"/>
      <c r="L6" s="106"/>
      <c r="M6" s="44"/>
      <c r="N6" s="44"/>
      <c r="O6" s="44"/>
      <c r="P6" s="108"/>
      <c r="Q6" s="106"/>
      <c r="R6" s="18"/>
      <c r="S6" s="18"/>
      <c r="T6" s="44"/>
      <c r="U6" s="108"/>
      <c r="V6" s="106"/>
      <c r="W6" s="18"/>
      <c r="X6" s="18"/>
      <c r="Y6" s="18"/>
      <c r="Z6" s="108"/>
      <c r="AA6" s="106"/>
      <c r="AB6" s="18"/>
      <c r="AC6" s="18"/>
      <c r="AD6" s="18"/>
      <c r="AE6" s="108"/>
      <c r="AF6" s="44"/>
      <c r="AG6" s="44"/>
      <c r="AH6" s="44"/>
      <c r="AI6" s="44"/>
      <c r="AJ6" s="44"/>
      <c r="AK6" s="106">
        <v>1</v>
      </c>
      <c r="AL6" s="44" t="s">
        <v>329</v>
      </c>
      <c r="AM6" s="44"/>
      <c r="AN6" s="44">
        <v>0.27</v>
      </c>
      <c r="AO6" s="108">
        <v>0.85709999999999997</v>
      </c>
      <c r="AP6" s="106"/>
      <c r="AQ6" s="44"/>
      <c r="AR6" s="44"/>
      <c r="AS6" s="44"/>
      <c r="AT6" s="109"/>
      <c r="AU6" s="18"/>
      <c r="AV6" s="44"/>
      <c r="AW6" s="44"/>
      <c r="AX6" s="44"/>
      <c r="AY6" s="44"/>
      <c r="AZ6" s="106"/>
      <c r="BA6" s="44"/>
      <c r="BB6" s="44"/>
      <c r="BC6" s="44"/>
      <c r="BD6" s="44"/>
      <c r="BE6" s="106"/>
      <c r="BF6" s="44"/>
      <c r="BG6" s="44"/>
      <c r="BH6" s="44"/>
      <c r="BI6" s="44"/>
      <c r="BJ6" s="106"/>
      <c r="BK6" s="18"/>
      <c r="BL6" s="18"/>
      <c r="BM6" s="18"/>
      <c r="BN6" s="44"/>
      <c r="BO6" s="110"/>
      <c r="BP6" s="44"/>
      <c r="BQ6" s="44"/>
      <c r="BR6" s="44"/>
      <c r="BS6" s="44"/>
      <c r="BT6" s="106"/>
      <c r="BU6" s="18"/>
      <c r="BV6" s="18"/>
      <c r="BW6" s="18"/>
      <c r="BX6" s="44"/>
      <c r="BY6" s="106"/>
      <c r="BZ6" s="18"/>
      <c r="CA6" s="18"/>
      <c r="CB6" s="18"/>
      <c r="CC6" s="44"/>
      <c r="CD6" s="106"/>
      <c r="CE6" s="18"/>
      <c r="CF6" s="18"/>
      <c r="CG6" s="18"/>
      <c r="CH6" s="44"/>
      <c r="CI6" s="106"/>
      <c r="CJ6" s="18"/>
      <c r="CK6" s="18"/>
      <c r="CL6" s="18"/>
      <c r="CM6" s="44"/>
      <c r="CN6" s="106"/>
      <c r="CO6" s="18"/>
      <c r="CP6" s="18"/>
      <c r="CQ6" s="18"/>
      <c r="CR6" s="44"/>
      <c r="CS6" s="106"/>
      <c r="CT6" s="18"/>
      <c r="CU6" s="18"/>
      <c r="CV6" s="18"/>
      <c r="CW6" s="108"/>
      <c r="CX6" s="44"/>
      <c r="CY6" s="44"/>
      <c r="CZ6" s="44"/>
      <c r="DA6" s="44"/>
      <c r="DB6" s="44"/>
      <c r="DC6" s="106"/>
      <c r="DD6" s="44"/>
      <c r="DE6" s="44"/>
      <c r="DF6" s="44"/>
      <c r="DG6" s="111"/>
      <c r="DH6" s="44"/>
      <c r="DI6" s="18"/>
      <c r="DJ6" s="18"/>
      <c r="DK6" s="18"/>
      <c r="DL6" s="109"/>
      <c r="DM6" s="106"/>
      <c r="DN6" s="44"/>
      <c r="DO6" s="44"/>
      <c r="DP6" s="44"/>
      <c r="DQ6" s="44"/>
      <c r="DR6" s="110">
        <v>1</v>
      </c>
      <c r="DS6" s="44">
        <v>0.78</v>
      </c>
      <c r="DT6" s="44">
        <v>34.549999999999997</v>
      </c>
      <c r="DU6" s="44"/>
      <c r="DV6" s="44">
        <v>0.1</v>
      </c>
      <c r="DW6" s="110"/>
      <c r="DX6" s="44"/>
      <c r="DY6" s="44"/>
      <c r="DZ6" s="44"/>
      <c r="EA6" s="44"/>
      <c r="EB6" s="106"/>
      <c r="EC6" s="18"/>
      <c r="ED6" s="18"/>
      <c r="EE6" s="18"/>
      <c r="EF6" s="44"/>
      <c r="EG6" s="106"/>
      <c r="EH6" s="44"/>
      <c r="EI6" s="44"/>
      <c r="EJ6" s="44"/>
      <c r="EK6" s="44"/>
      <c r="EL6" s="106"/>
      <c r="EM6" s="44"/>
      <c r="EN6" s="44"/>
      <c r="EO6" s="44"/>
      <c r="EP6" s="44"/>
      <c r="EQ6" s="106"/>
      <c r="ER6" s="44"/>
      <c r="ES6" s="44"/>
      <c r="ET6" s="44"/>
      <c r="EU6" s="111"/>
      <c r="EV6" s="110"/>
      <c r="EW6" s="44"/>
      <c r="EX6" s="44"/>
      <c r="EY6" s="44"/>
      <c r="EZ6" s="44"/>
      <c r="FA6" s="18">
        <v>2</v>
      </c>
      <c r="FB6" s="18"/>
      <c r="FC6" s="18"/>
      <c r="FD6" s="44">
        <v>0.37</v>
      </c>
      <c r="FE6" s="108">
        <v>1E-4</v>
      </c>
      <c r="FF6" s="106"/>
      <c r="FG6" s="18"/>
      <c r="FH6" s="18"/>
      <c r="FI6" s="18"/>
      <c r="FJ6" s="44"/>
    </row>
    <row r="7" spans="1:166" x14ac:dyDescent="0.25">
      <c r="A7" s="44" t="s">
        <v>253</v>
      </c>
      <c r="B7" s="106">
        <v>2</v>
      </c>
      <c r="C7" s="44">
        <v>6.38</v>
      </c>
      <c r="D7" s="44">
        <v>43.77</v>
      </c>
      <c r="E7" s="44"/>
      <c r="F7" s="108">
        <v>0.91159999999999997</v>
      </c>
      <c r="G7" s="106"/>
      <c r="H7" s="44"/>
      <c r="I7" s="44"/>
      <c r="J7" s="44"/>
      <c r="K7" s="108"/>
      <c r="L7" s="106">
        <v>6</v>
      </c>
      <c r="M7" s="44">
        <v>20167.009999999998</v>
      </c>
      <c r="N7" s="44">
        <v>1891.36</v>
      </c>
      <c r="O7" s="44"/>
      <c r="P7" s="108">
        <v>3.61E-2</v>
      </c>
      <c r="Q7" s="106"/>
      <c r="R7" s="18"/>
      <c r="S7" s="18"/>
      <c r="T7" s="44"/>
      <c r="U7" s="108"/>
      <c r="V7" s="106">
        <v>18</v>
      </c>
      <c r="W7" s="18">
        <v>7052</v>
      </c>
      <c r="X7" s="18">
        <v>1020</v>
      </c>
      <c r="Y7" s="18">
        <v>296</v>
      </c>
      <c r="Z7" s="111">
        <v>0.08</v>
      </c>
      <c r="AA7" s="106">
        <v>2</v>
      </c>
      <c r="AB7" s="44">
        <v>50.37</v>
      </c>
      <c r="AC7" s="44"/>
      <c r="AD7" s="44"/>
      <c r="AE7" s="108">
        <v>8.9999999999999998E-4</v>
      </c>
      <c r="AF7" s="44"/>
      <c r="AG7" s="44">
        <v>150.91999999999999</v>
      </c>
      <c r="AH7" s="44">
        <v>45.34</v>
      </c>
      <c r="AI7" s="44"/>
      <c r="AJ7" s="108">
        <v>4.7000000000000002E-3</v>
      </c>
      <c r="AK7" s="106"/>
      <c r="AL7" s="44"/>
      <c r="AM7" s="44"/>
      <c r="AN7" s="44"/>
      <c r="AO7" s="108"/>
      <c r="AP7" s="106"/>
      <c r="AQ7" s="44"/>
      <c r="AR7" s="44"/>
      <c r="AS7" s="44"/>
      <c r="AT7" s="109"/>
      <c r="AU7" s="18">
        <v>3</v>
      </c>
      <c r="AV7" s="44">
        <v>70.73</v>
      </c>
      <c r="AW7" s="44"/>
      <c r="AX7" s="44"/>
      <c r="AY7" s="108">
        <v>0.62839999999999996</v>
      </c>
      <c r="AZ7" s="106">
        <v>1</v>
      </c>
      <c r="BA7" s="44">
        <v>1781.18</v>
      </c>
      <c r="BB7" s="44"/>
      <c r="BC7" s="44"/>
      <c r="BD7" s="107">
        <v>17.649999999999999</v>
      </c>
      <c r="BE7" s="106">
        <v>4</v>
      </c>
      <c r="BF7" s="18">
        <v>534.53</v>
      </c>
      <c r="BG7" s="44">
        <v>29.24</v>
      </c>
      <c r="BH7" s="44"/>
      <c r="BI7" s="108">
        <v>0.1002</v>
      </c>
      <c r="BJ7" s="106">
        <v>2</v>
      </c>
      <c r="BK7" s="18">
        <v>555</v>
      </c>
      <c r="BL7" s="18">
        <v>10</v>
      </c>
      <c r="BM7" s="18"/>
      <c r="BN7" s="108">
        <v>0.1973</v>
      </c>
      <c r="BO7" s="106">
        <v>17</v>
      </c>
      <c r="BP7" s="44">
        <v>27080.7</v>
      </c>
      <c r="BQ7" s="44">
        <v>1103.8</v>
      </c>
      <c r="BR7" s="44">
        <v>730.8</v>
      </c>
      <c r="BS7" s="108">
        <v>0.32519999999999999</v>
      </c>
      <c r="BT7" s="106">
        <v>57</v>
      </c>
      <c r="BU7" s="18">
        <v>79532</v>
      </c>
      <c r="BV7" s="18">
        <v>3230</v>
      </c>
      <c r="BW7" s="18">
        <v>7254</v>
      </c>
      <c r="BX7" s="108">
        <v>0.1893</v>
      </c>
      <c r="BY7" s="106">
        <v>4</v>
      </c>
      <c r="BZ7" s="18">
        <v>2913</v>
      </c>
      <c r="CA7" s="18"/>
      <c r="CB7" s="18">
        <v>263</v>
      </c>
      <c r="CC7" s="108">
        <v>0.03</v>
      </c>
      <c r="CD7" s="106"/>
      <c r="CE7" s="18"/>
      <c r="CF7" s="18"/>
      <c r="CG7" s="18"/>
      <c r="CH7" s="44"/>
      <c r="CI7" s="106">
        <v>11</v>
      </c>
      <c r="CJ7" s="18">
        <v>468.69</v>
      </c>
      <c r="CK7" s="18">
        <v>112.6</v>
      </c>
      <c r="CL7" s="18">
        <v>11.01</v>
      </c>
      <c r="CM7" s="107">
        <v>17.18</v>
      </c>
      <c r="CN7" s="106"/>
      <c r="CO7" s="18"/>
      <c r="CP7" s="18"/>
      <c r="CQ7" s="18"/>
      <c r="CR7" s="108"/>
      <c r="CS7" s="106">
        <v>3</v>
      </c>
      <c r="CT7" s="18">
        <v>16636</v>
      </c>
      <c r="CU7" s="18">
        <v>38</v>
      </c>
      <c r="CV7" s="18"/>
      <c r="CW7" s="108">
        <v>1</v>
      </c>
      <c r="CX7" s="44"/>
      <c r="CY7" s="44"/>
      <c r="CZ7" s="44"/>
      <c r="DA7" s="44"/>
      <c r="DB7" s="44"/>
      <c r="DC7" s="106"/>
      <c r="DD7" s="44"/>
      <c r="DE7" s="44"/>
      <c r="DF7" s="44"/>
      <c r="DG7" s="111"/>
      <c r="DH7" s="44"/>
      <c r="DI7" s="18"/>
      <c r="DJ7" s="18"/>
      <c r="DK7" s="18"/>
      <c r="DL7" s="108"/>
      <c r="DM7" s="106">
        <v>2</v>
      </c>
      <c r="DN7" s="44"/>
      <c r="DO7" s="44"/>
      <c r="DP7" s="44">
        <v>99.98</v>
      </c>
      <c r="DQ7" s="108">
        <v>5.91E-2</v>
      </c>
      <c r="DR7" s="106">
        <v>12</v>
      </c>
      <c r="DS7" s="44">
        <v>10.81</v>
      </c>
      <c r="DT7" s="44">
        <v>10.93</v>
      </c>
      <c r="DU7" s="44">
        <v>107.08</v>
      </c>
      <c r="DV7" s="111">
        <v>3.5000000000000001E-3</v>
      </c>
      <c r="DW7" s="106">
        <v>2</v>
      </c>
      <c r="DX7" s="44">
        <v>-1.4</v>
      </c>
      <c r="DY7" s="44"/>
      <c r="DZ7" s="44">
        <v>0.1</v>
      </c>
      <c r="EA7" s="44"/>
      <c r="EB7" s="106">
        <v>1</v>
      </c>
      <c r="EC7" s="44">
        <v>6750.09</v>
      </c>
      <c r="ED7" s="44"/>
      <c r="EE7" s="44"/>
      <c r="EF7" s="44">
        <v>0.1128</v>
      </c>
      <c r="EG7" s="106">
        <v>4</v>
      </c>
      <c r="EH7" s="44">
        <v>4261.7</v>
      </c>
      <c r="EI7" s="44">
        <v>475.46</v>
      </c>
      <c r="EJ7" s="44"/>
      <c r="EK7" s="108">
        <v>2.5899999999999999E-2</v>
      </c>
      <c r="EL7" s="106">
        <v>6</v>
      </c>
      <c r="EM7" s="44">
        <v>2559.69</v>
      </c>
      <c r="EN7" s="44">
        <v>203.21</v>
      </c>
      <c r="EO7" s="44">
        <v>6.17</v>
      </c>
      <c r="EP7" s="108">
        <v>1.3252999999999999</v>
      </c>
      <c r="EQ7" s="106"/>
      <c r="ER7" s="44"/>
      <c r="ES7" s="44"/>
      <c r="ET7" s="44"/>
      <c r="EU7" s="108"/>
      <c r="EV7" s="106">
        <v>93</v>
      </c>
      <c r="EW7" s="18">
        <v>41890</v>
      </c>
      <c r="EX7" s="18">
        <v>6575</v>
      </c>
      <c r="EY7" s="18">
        <v>2873</v>
      </c>
      <c r="EZ7" s="111">
        <v>0.31</v>
      </c>
      <c r="FA7" s="18">
        <v>7</v>
      </c>
      <c r="FB7" s="44">
        <v>966.5</v>
      </c>
      <c r="FC7" s="44">
        <v>25.73</v>
      </c>
      <c r="FD7" s="44">
        <v>25.5</v>
      </c>
      <c r="FE7" s="108">
        <v>0.1918</v>
      </c>
      <c r="FF7" s="106">
        <v>2</v>
      </c>
      <c r="FG7" s="18">
        <v>8386</v>
      </c>
      <c r="FH7" s="18">
        <v>1049</v>
      </c>
      <c r="FI7" s="18">
        <v>17</v>
      </c>
      <c r="FJ7" s="108">
        <v>0.1009</v>
      </c>
    </row>
    <row r="8" spans="1:166" x14ac:dyDescent="0.25">
      <c r="A8" s="44" t="s">
        <v>254</v>
      </c>
      <c r="B8" s="106">
        <v>1</v>
      </c>
      <c r="C8" s="44"/>
      <c r="D8" s="44">
        <v>4.8600000000000003</v>
      </c>
      <c r="E8" s="44"/>
      <c r="F8" s="108">
        <v>8.8400000000000006E-2</v>
      </c>
      <c r="G8" s="106">
        <v>2</v>
      </c>
      <c r="H8" s="44">
        <v>346.68</v>
      </c>
      <c r="I8" s="44"/>
      <c r="J8" s="44">
        <v>3.61</v>
      </c>
      <c r="K8" s="108">
        <v>0.78590000000000004</v>
      </c>
      <c r="L8" s="106">
        <v>42</v>
      </c>
      <c r="M8" s="44">
        <v>97185.41</v>
      </c>
      <c r="N8" s="44">
        <v>6212.77</v>
      </c>
      <c r="O8" s="44"/>
      <c r="P8" s="108">
        <v>0.1691</v>
      </c>
      <c r="Q8" s="106">
        <v>3</v>
      </c>
      <c r="R8" s="18">
        <v>17689</v>
      </c>
      <c r="S8" s="18">
        <v>61</v>
      </c>
      <c r="T8" s="44"/>
      <c r="U8" s="108">
        <v>0.65</v>
      </c>
      <c r="V8" s="106">
        <v>74</v>
      </c>
      <c r="W8" s="18">
        <v>80570</v>
      </c>
      <c r="X8" s="18">
        <v>4927</v>
      </c>
      <c r="Y8" s="18">
        <v>7024</v>
      </c>
      <c r="Z8" s="111">
        <v>0.88</v>
      </c>
      <c r="AA8" s="106">
        <v>27</v>
      </c>
      <c r="AB8" s="44">
        <v>9894.33</v>
      </c>
      <c r="AC8" s="44">
        <v>979.97</v>
      </c>
      <c r="AD8" s="44">
        <v>2603.67</v>
      </c>
      <c r="AE8" s="108">
        <v>0.2535</v>
      </c>
      <c r="AF8" s="44"/>
      <c r="AG8" s="44">
        <v>16358.62</v>
      </c>
      <c r="AH8" s="44">
        <v>117.99</v>
      </c>
      <c r="AI8" s="44">
        <v>1573.77</v>
      </c>
      <c r="AJ8" s="108">
        <v>0.42870000000000003</v>
      </c>
      <c r="AK8" s="106">
        <v>2</v>
      </c>
      <c r="AL8" s="44">
        <v>278.39</v>
      </c>
      <c r="AM8" s="44">
        <v>13.07</v>
      </c>
      <c r="AN8" s="44">
        <v>9.1199999999999992</v>
      </c>
      <c r="AO8" s="108">
        <v>0.1429</v>
      </c>
      <c r="AP8" s="106">
        <v>1</v>
      </c>
      <c r="AQ8" s="44"/>
      <c r="AR8" s="44">
        <v>6.56</v>
      </c>
      <c r="AS8" s="44"/>
      <c r="AT8" s="108">
        <v>1.2999999999999999E-3</v>
      </c>
      <c r="AU8" s="18">
        <v>3</v>
      </c>
      <c r="AV8" s="44">
        <v>30.09</v>
      </c>
      <c r="AW8" s="44"/>
      <c r="AX8" s="44">
        <v>11.74</v>
      </c>
      <c r="AY8" s="108">
        <v>0.37159999999999999</v>
      </c>
      <c r="AZ8" s="106">
        <v>8</v>
      </c>
      <c r="BA8" s="44">
        <v>8307.07</v>
      </c>
      <c r="BB8" s="44"/>
      <c r="BC8" s="44"/>
      <c r="BD8" s="129">
        <v>82.33</v>
      </c>
      <c r="BE8" s="106">
        <v>37</v>
      </c>
      <c r="BF8" s="18">
        <v>880.69</v>
      </c>
      <c r="BG8" s="44">
        <v>569.4</v>
      </c>
      <c r="BH8" s="44">
        <v>347.25</v>
      </c>
      <c r="BI8" s="108">
        <v>0.27900000000000003</v>
      </c>
      <c r="BJ8" s="106">
        <v>9</v>
      </c>
      <c r="BK8" s="18">
        <v>1150</v>
      </c>
      <c r="BL8" s="18">
        <v>35</v>
      </c>
      <c r="BM8" s="18">
        <v>1111</v>
      </c>
      <c r="BN8" s="108">
        <v>0.80269999999999997</v>
      </c>
      <c r="BO8" s="106">
        <v>126</v>
      </c>
      <c r="BP8" s="44">
        <v>51885.9</v>
      </c>
      <c r="BQ8" s="44">
        <v>1511.5</v>
      </c>
      <c r="BR8" s="44">
        <v>5472.5</v>
      </c>
      <c r="BS8" s="108">
        <v>0.66210000000000002</v>
      </c>
      <c r="BT8" s="106">
        <v>201</v>
      </c>
      <c r="BU8" s="18">
        <v>309204</v>
      </c>
      <c r="BV8" s="18">
        <v>20319</v>
      </c>
      <c r="BW8" s="18">
        <v>40205</v>
      </c>
      <c r="BX8" s="108">
        <v>0.77749999999999997</v>
      </c>
      <c r="BY8" s="106">
        <v>143</v>
      </c>
      <c r="BZ8" s="18">
        <v>170340</v>
      </c>
      <c r="CA8" s="18">
        <v>8976.1200000000008</v>
      </c>
      <c r="CB8" s="18">
        <v>14070</v>
      </c>
      <c r="CC8" s="108">
        <v>1</v>
      </c>
      <c r="CD8" s="106">
        <v>4</v>
      </c>
      <c r="CE8" s="18">
        <v>161</v>
      </c>
      <c r="CF8" s="18">
        <v>199</v>
      </c>
      <c r="CG8" s="18"/>
      <c r="CH8" s="108">
        <v>0.14000000000000001</v>
      </c>
      <c r="CI8" s="106">
        <v>7</v>
      </c>
      <c r="CJ8" s="18">
        <v>2498.38</v>
      </c>
      <c r="CK8" s="18">
        <v>354.18</v>
      </c>
      <c r="CL8" s="18">
        <v>2.99</v>
      </c>
      <c r="CM8" s="107">
        <v>82.81</v>
      </c>
      <c r="CN8" s="106">
        <v>16</v>
      </c>
      <c r="CO8" s="18">
        <v>2299</v>
      </c>
      <c r="CP8" s="18">
        <v>28</v>
      </c>
      <c r="CQ8" s="18">
        <v>79</v>
      </c>
      <c r="CR8" s="108">
        <v>0.34410000000000002</v>
      </c>
      <c r="CS8" s="106"/>
      <c r="CT8" s="18"/>
      <c r="CU8" s="18"/>
      <c r="CV8" s="18"/>
      <c r="CW8" s="108"/>
      <c r="CX8" s="18"/>
      <c r="CY8" s="44">
        <v>296274.14401120006</v>
      </c>
      <c r="CZ8" s="44">
        <v>42263.551805105802</v>
      </c>
      <c r="DA8" s="44">
        <v>130647.26061309999</v>
      </c>
      <c r="DB8" s="44">
        <v>91.316300391595107</v>
      </c>
      <c r="DC8" s="106">
        <v>223</v>
      </c>
      <c r="DD8" s="44">
        <v>3153.86</v>
      </c>
      <c r="DE8" s="44">
        <v>1814.59</v>
      </c>
      <c r="DF8" s="44">
        <v>33003.58</v>
      </c>
      <c r="DG8" s="111">
        <v>0.27660000000000001</v>
      </c>
      <c r="DH8" s="44"/>
      <c r="DI8" s="18"/>
      <c r="DJ8" s="18"/>
      <c r="DK8" s="18"/>
      <c r="DL8" s="108"/>
      <c r="DM8" s="106">
        <v>5</v>
      </c>
      <c r="DN8" s="44">
        <v>595.4</v>
      </c>
      <c r="DO8" s="44">
        <v>770.2</v>
      </c>
      <c r="DP8" s="44">
        <v>224.74</v>
      </c>
      <c r="DQ8" s="108">
        <v>0.94089999999999996</v>
      </c>
      <c r="DR8" s="106">
        <v>86</v>
      </c>
      <c r="DS8" s="44">
        <v>26678.23</v>
      </c>
      <c r="DT8" s="44">
        <v>1093.6300000000001</v>
      </c>
      <c r="DU8" s="44">
        <v>835.41</v>
      </c>
      <c r="DV8" s="111">
        <v>0.77659999999999996</v>
      </c>
      <c r="DW8" s="106">
        <v>1</v>
      </c>
      <c r="DX8" s="44">
        <v>-0.1</v>
      </c>
      <c r="DY8" s="44"/>
      <c r="DZ8" s="44"/>
      <c r="EA8" s="44"/>
      <c r="EB8" s="106">
        <v>12</v>
      </c>
      <c r="EC8" s="44">
        <v>6825.44</v>
      </c>
      <c r="ED8" s="44">
        <v>1536.2</v>
      </c>
      <c r="EE8" s="44">
        <v>49.45</v>
      </c>
      <c r="EF8" s="108">
        <v>0.1406</v>
      </c>
      <c r="EG8" s="106">
        <v>87</v>
      </c>
      <c r="EH8" s="44">
        <v>24566.75</v>
      </c>
      <c r="EI8" s="44">
        <v>2761.27</v>
      </c>
      <c r="EJ8" s="44">
        <v>452.23</v>
      </c>
      <c r="EK8" s="108">
        <v>0.1522</v>
      </c>
      <c r="EL8" s="106">
        <v>7</v>
      </c>
      <c r="EM8" s="44">
        <v>-1147.46</v>
      </c>
      <c r="EN8" s="44">
        <v>81.37</v>
      </c>
      <c r="EP8" s="108">
        <v>-0.51019999999999999</v>
      </c>
      <c r="EQ8" s="106"/>
      <c r="ER8" s="44"/>
      <c r="ES8" s="44"/>
      <c r="ET8" s="44"/>
      <c r="EU8" s="108"/>
      <c r="EV8" s="106">
        <v>391</v>
      </c>
      <c r="EW8" s="18">
        <v>81168</v>
      </c>
      <c r="EX8" s="18">
        <v>9573</v>
      </c>
      <c r="EY8" s="18">
        <v>21100</v>
      </c>
      <c r="EZ8" s="111">
        <v>0.68</v>
      </c>
      <c r="FA8" s="18">
        <v>219</v>
      </c>
      <c r="FB8" s="44">
        <v>90.52</v>
      </c>
      <c r="FC8" s="44">
        <v>97.02</v>
      </c>
      <c r="FD8" s="44">
        <v>870.53</v>
      </c>
      <c r="FE8" s="108">
        <v>0.19939999999999999</v>
      </c>
      <c r="FF8" s="106">
        <v>26</v>
      </c>
      <c r="FG8" s="18">
        <v>1195</v>
      </c>
      <c r="FH8" s="18">
        <v>595</v>
      </c>
      <c r="FI8" s="18">
        <v>3786</v>
      </c>
      <c r="FJ8" s="108">
        <v>5.9499999999999997E-2</v>
      </c>
    </row>
    <row r="9" spans="1:166" x14ac:dyDescent="0.25">
      <c r="A9" s="44" t="s">
        <v>255</v>
      </c>
      <c r="B9" s="106"/>
      <c r="C9" s="44"/>
      <c r="D9" s="44"/>
      <c r="E9" s="44"/>
      <c r="F9" s="108"/>
      <c r="G9" s="106">
        <v>1</v>
      </c>
      <c r="H9" s="44">
        <v>95.45</v>
      </c>
      <c r="I9" s="44"/>
      <c r="J9" s="44"/>
      <c r="K9" s="108">
        <v>0.21410000000000001</v>
      </c>
      <c r="L9" s="106">
        <v>2</v>
      </c>
      <c r="M9" s="44">
        <v>2398.61</v>
      </c>
      <c r="N9" s="44">
        <v>151.81</v>
      </c>
      <c r="O9" s="44"/>
      <c r="P9" s="108">
        <v>4.1999999999999997E-3</v>
      </c>
      <c r="Q9" s="106">
        <v>2</v>
      </c>
      <c r="R9" s="18">
        <v>9369</v>
      </c>
      <c r="S9" s="18">
        <v>188</v>
      </c>
      <c r="T9" s="44"/>
      <c r="U9" s="108">
        <v>0.35</v>
      </c>
      <c r="V9" s="106">
        <v>29</v>
      </c>
      <c r="W9" s="18"/>
      <c r="X9" s="18"/>
      <c r="Y9" s="18">
        <v>3788</v>
      </c>
      <c r="Z9" s="108">
        <v>0.04</v>
      </c>
      <c r="AA9" s="106">
        <v>6</v>
      </c>
      <c r="AB9" s="44">
        <v>1831.78</v>
      </c>
      <c r="AC9" s="44">
        <v>478.47</v>
      </c>
      <c r="AD9" s="44">
        <v>103.84</v>
      </c>
      <c r="AE9" s="108">
        <v>4.5400000000000003E-2</v>
      </c>
      <c r="AF9" s="44"/>
      <c r="AG9" s="44"/>
      <c r="AH9" s="44"/>
      <c r="AI9" s="44"/>
      <c r="AJ9" s="108"/>
      <c r="AK9" s="106"/>
      <c r="AL9" s="44"/>
      <c r="AM9" s="44"/>
      <c r="AN9" s="44"/>
      <c r="AO9" s="108"/>
      <c r="AP9" s="106">
        <v>6</v>
      </c>
      <c r="AQ9" s="44">
        <v>4929.12</v>
      </c>
      <c r="AR9" s="44">
        <v>124.59</v>
      </c>
      <c r="AS9" s="44"/>
      <c r="AT9" s="108">
        <v>0.99870000000000003</v>
      </c>
      <c r="AU9" s="18"/>
      <c r="AV9" s="44"/>
      <c r="AW9" s="44"/>
      <c r="AX9" s="44"/>
      <c r="AY9" s="108"/>
      <c r="AZ9" s="106">
        <v>2</v>
      </c>
      <c r="BA9" s="44">
        <v>1.5</v>
      </c>
      <c r="BB9" s="44"/>
      <c r="BC9" s="44"/>
      <c r="BD9" s="129">
        <v>0.01</v>
      </c>
      <c r="BE9" s="106">
        <v>13</v>
      </c>
      <c r="BF9" s="18">
        <v>3652.58</v>
      </c>
      <c r="BG9" s="44">
        <v>1217.94</v>
      </c>
      <c r="BH9" s="44">
        <v>2536.2199999999998</v>
      </c>
      <c r="BI9" s="108">
        <v>0.61960000000000004</v>
      </c>
      <c r="BJ9" s="106"/>
      <c r="BK9" s="18"/>
      <c r="BL9" s="18"/>
      <c r="BM9" s="18"/>
      <c r="BN9" s="108"/>
      <c r="BO9" s="106">
        <v>5</v>
      </c>
      <c r="BP9" s="44">
        <v>8.9</v>
      </c>
      <c r="BQ9" s="44"/>
      <c r="BR9" s="44">
        <v>246.9</v>
      </c>
      <c r="BS9" s="108">
        <v>2.8999999999999998E-3</v>
      </c>
      <c r="BT9" s="106">
        <v>4</v>
      </c>
      <c r="BU9" s="18">
        <v>66</v>
      </c>
      <c r="BV9" s="18">
        <v>3</v>
      </c>
      <c r="BW9" s="18"/>
      <c r="BX9" s="108">
        <v>1E-4</v>
      </c>
      <c r="BY9" s="106">
        <v>20</v>
      </c>
      <c r="BZ9" s="18">
        <v>5843</v>
      </c>
      <c r="CA9" s="18">
        <v>475</v>
      </c>
      <c r="CB9" s="18">
        <v>86</v>
      </c>
      <c r="CC9" s="108">
        <v>0.02</v>
      </c>
      <c r="CD9" s="106">
        <v>1</v>
      </c>
      <c r="CE9" s="18">
        <v>1837</v>
      </c>
      <c r="CF9" s="18">
        <v>289</v>
      </c>
      <c r="CG9" s="18">
        <v>12</v>
      </c>
      <c r="CH9" s="108">
        <v>0.85</v>
      </c>
      <c r="CI9" s="106">
        <v>1</v>
      </c>
      <c r="CJ9" s="18">
        <v>0.43</v>
      </c>
      <c r="CK9" s="18"/>
      <c r="CL9" s="18"/>
      <c r="CM9" s="107">
        <v>0.01</v>
      </c>
      <c r="CN9" s="106">
        <v>19</v>
      </c>
      <c r="CO9" s="18">
        <v>4496</v>
      </c>
      <c r="CP9" s="18">
        <v>84</v>
      </c>
      <c r="CQ9" s="18">
        <v>6</v>
      </c>
      <c r="CR9" s="108">
        <v>0.65590000000000004</v>
      </c>
      <c r="CS9" s="106"/>
      <c r="CT9" s="18"/>
      <c r="CU9" s="18"/>
      <c r="CV9" s="18"/>
      <c r="CW9" s="108"/>
      <c r="CX9" s="4"/>
      <c r="CY9" s="44">
        <v>2827.4905174999999</v>
      </c>
      <c r="CZ9" s="44">
        <v>659.03642814030934</v>
      </c>
      <c r="DA9" s="44">
        <v>70.210975399999995</v>
      </c>
      <c r="DB9" s="44">
        <v>0.69223904978454343</v>
      </c>
      <c r="DC9" s="106">
        <v>23</v>
      </c>
      <c r="DD9" s="44">
        <v>2265.5700000000002</v>
      </c>
      <c r="DE9" s="44">
        <v>1138.05</v>
      </c>
      <c r="DF9" s="44">
        <v>580.16</v>
      </c>
      <c r="DG9" s="111">
        <v>2.9000000000000001E-2</v>
      </c>
      <c r="DH9" s="44"/>
      <c r="DI9" s="18"/>
      <c r="DJ9" s="18"/>
      <c r="DK9" s="18"/>
      <c r="DL9" s="108"/>
      <c r="DM9" s="106"/>
      <c r="DN9" s="44"/>
      <c r="DO9" s="44"/>
      <c r="DP9" s="44"/>
      <c r="DQ9" s="44"/>
      <c r="DR9" s="106">
        <v>12</v>
      </c>
      <c r="DS9" s="44">
        <v>1793.16</v>
      </c>
      <c r="DT9" s="44">
        <v>98.06</v>
      </c>
      <c r="DU9" s="44">
        <v>30.2</v>
      </c>
      <c r="DV9" s="111">
        <v>5.2200000000000003E-2</v>
      </c>
      <c r="DW9" s="106">
        <v>1</v>
      </c>
      <c r="DX9" s="44">
        <v>28713.9</v>
      </c>
      <c r="DY9" s="44">
        <v>158.5</v>
      </c>
      <c r="DZ9" s="44">
        <v>20</v>
      </c>
      <c r="EA9" s="111">
        <v>1</v>
      </c>
      <c r="EB9" s="106">
        <v>11</v>
      </c>
      <c r="EC9" s="44">
        <v>41863.46</v>
      </c>
      <c r="ED9" s="44">
        <v>911.95</v>
      </c>
      <c r="EE9" s="44">
        <v>1881.19</v>
      </c>
      <c r="EF9" s="108">
        <v>0.74650000000000005</v>
      </c>
      <c r="EG9" s="106">
        <v>13</v>
      </c>
      <c r="EH9" s="44">
        <v>142287.82999999999</v>
      </c>
      <c r="EI9" s="44">
        <v>5297.55</v>
      </c>
      <c r="EJ9" s="44">
        <v>1207.22</v>
      </c>
      <c r="EK9" s="108">
        <v>0.81489999999999996</v>
      </c>
      <c r="EL9" s="106">
        <v>8</v>
      </c>
      <c r="EM9" s="44">
        <v>115.99</v>
      </c>
      <c r="EN9" s="44">
        <v>178.88</v>
      </c>
      <c r="EO9" s="44">
        <v>91.53</v>
      </c>
      <c r="EP9" s="108">
        <v>0.18490000000000001</v>
      </c>
      <c r="EQ9" s="106">
        <v>1</v>
      </c>
      <c r="ER9" s="44">
        <v>95415</v>
      </c>
      <c r="ES9" s="44"/>
      <c r="ET9" s="44">
        <v>1092.6400000000001</v>
      </c>
      <c r="EU9" s="44">
        <v>100</v>
      </c>
      <c r="EV9" s="112"/>
      <c r="EW9" s="18"/>
      <c r="EX9" s="18"/>
      <c r="EY9" s="18"/>
      <c r="EZ9" s="111"/>
      <c r="FA9" s="18">
        <v>26</v>
      </c>
      <c r="FB9" s="44">
        <v>35.5</v>
      </c>
      <c r="FC9" s="44">
        <v>28.39</v>
      </c>
      <c r="FD9" s="44">
        <v>18.5</v>
      </c>
      <c r="FE9" s="108">
        <v>1.55E-2</v>
      </c>
      <c r="FF9" s="106">
        <v>18</v>
      </c>
      <c r="FG9" s="18">
        <v>64946</v>
      </c>
      <c r="FH9" s="18">
        <v>4374</v>
      </c>
      <c r="FI9" s="18">
        <v>646</v>
      </c>
      <c r="FJ9" s="108">
        <v>0.74670000000000003</v>
      </c>
    </row>
    <row r="10" spans="1:166" x14ac:dyDescent="0.25">
      <c r="A10" s="44" t="s">
        <v>256</v>
      </c>
      <c r="B10" s="106"/>
      <c r="C10" s="44"/>
      <c r="D10" s="44"/>
      <c r="E10" s="44"/>
      <c r="F10" s="108"/>
      <c r="G10" s="106"/>
      <c r="H10" s="44"/>
      <c r="I10" s="44"/>
      <c r="J10" s="44"/>
      <c r="K10" s="108"/>
      <c r="L10" s="106"/>
      <c r="M10" s="44"/>
      <c r="N10" s="44"/>
      <c r="O10" s="44"/>
      <c r="P10" s="108"/>
      <c r="Q10" s="106"/>
      <c r="R10" s="18"/>
      <c r="S10" s="18"/>
      <c r="T10" s="44"/>
      <c r="U10" s="108"/>
      <c r="V10" s="106"/>
      <c r="W10" s="18"/>
      <c r="X10" s="18"/>
      <c r="Y10" s="18"/>
      <c r="Z10" s="108"/>
      <c r="AA10" s="106"/>
      <c r="AB10" s="44"/>
      <c r="AC10" s="44"/>
      <c r="AD10" s="44"/>
      <c r="AE10" s="108"/>
      <c r="AF10" s="44"/>
      <c r="AG10" s="44">
        <v>0.71</v>
      </c>
      <c r="AH10" s="44"/>
      <c r="AI10" s="44"/>
      <c r="AJ10" s="108"/>
      <c r="AK10" s="106"/>
      <c r="AL10" s="44"/>
      <c r="AM10" s="44"/>
      <c r="AN10" s="44"/>
      <c r="AO10" s="108"/>
      <c r="AP10" s="106"/>
      <c r="AQ10" s="44"/>
      <c r="AR10" s="44"/>
      <c r="AS10" s="44"/>
      <c r="AT10" s="108"/>
      <c r="AU10" s="18"/>
      <c r="AV10" s="44"/>
      <c r="AW10" s="44"/>
      <c r="AX10" s="44"/>
      <c r="AY10" s="108"/>
      <c r="AZ10" s="106"/>
      <c r="BA10" s="44"/>
      <c r="BB10" s="44"/>
      <c r="BC10" s="44"/>
      <c r="BD10" s="108"/>
      <c r="BE10" s="106"/>
      <c r="BF10" s="44"/>
      <c r="BG10" s="44"/>
      <c r="BH10" s="44"/>
      <c r="BI10" s="108"/>
      <c r="BJ10" s="106"/>
      <c r="BK10" s="18"/>
      <c r="BL10" s="18"/>
      <c r="BM10" s="18"/>
      <c r="BN10" s="108"/>
      <c r="BO10" s="106"/>
      <c r="BP10" s="44"/>
      <c r="BQ10" s="44"/>
      <c r="BR10" s="44"/>
      <c r="BS10" s="108"/>
      <c r="BT10" s="106">
        <v>7</v>
      </c>
      <c r="BU10" s="18">
        <v>26</v>
      </c>
      <c r="BV10" s="18">
        <v>6</v>
      </c>
      <c r="BW10" s="18">
        <v>12</v>
      </c>
      <c r="BX10" s="108">
        <v>1E-4</v>
      </c>
      <c r="BY10" s="106"/>
      <c r="BZ10" s="18"/>
      <c r="CA10" s="18"/>
      <c r="CB10" s="18"/>
      <c r="CC10" s="44"/>
      <c r="CD10" s="106"/>
      <c r="CE10" s="18"/>
      <c r="CF10" s="18"/>
      <c r="CG10" s="18"/>
      <c r="CH10" s="108"/>
      <c r="CI10" s="106"/>
      <c r="CJ10" s="18"/>
      <c r="CK10" s="18"/>
      <c r="CL10" s="18"/>
      <c r="CM10" s="111"/>
      <c r="CN10" s="106"/>
      <c r="CO10" s="18"/>
      <c r="CP10" s="18"/>
      <c r="CQ10" s="18"/>
      <c r="CR10" s="108"/>
      <c r="CS10" s="106"/>
      <c r="CT10" s="18"/>
      <c r="CU10" s="18"/>
      <c r="CV10" s="18"/>
      <c r="CW10" s="108"/>
      <c r="CX10" s="18"/>
      <c r="CY10" s="44">
        <v>27219.658649000001</v>
      </c>
      <c r="CZ10" s="44">
        <v>4041.1184118988699</v>
      </c>
      <c r="DA10" s="44">
        <v>9799.5052536999992</v>
      </c>
      <c r="DB10" s="44">
        <v>7.9914605586203642</v>
      </c>
      <c r="DC10" s="106"/>
      <c r="DD10" s="44"/>
      <c r="DE10" s="44"/>
      <c r="DF10" s="44"/>
      <c r="DG10" s="107"/>
      <c r="DH10" s="44"/>
      <c r="DI10" s="18"/>
      <c r="DJ10" s="18"/>
      <c r="DK10" s="18"/>
      <c r="DL10" s="108"/>
      <c r="DM10" s="106"/>
      <c r="DN10" s="44"/>
      <c r="DO10" s="44"/>
      <c r="DP10" s="44"/>
      <c r="DQ10" s="44"/>
      <c r="DR10" s="106">
        <v>3</v>
      </c>
      <c r="DS10" s="44">
        <v>3.47</v>
      </c>
      <c r="DT10" s="44">
        <v>0.06</v>
      </c>
      <c r="DU10" s="44">
        <v>0.69</v>
      </c>
      <c r="DV10" s="111">
        <v>1E-4</v>
      </c>
      <c r="DW10" s="110"/>
      <c r="DX10" s="44"/>
      <c r="DY10" s="44"/>
      <c r="DZ10" s="44"/>
      <c r="EA10" s="44"/>
      <c r="EB10" s="106"/>
      <c r="EC10" s="44"/>
      <c r="ED10" s="44"/>
      <c r="EE10" s="44"/>
      <c r="EF10" s="108"/>
      <c r="EG10" s="106"/>
      <c r="EH10" s="44"/>
      <c r="EI10" s="44"/>
      <c r="EJ10" s="44"/>
      <c r="EK10" s="113"/>
      <c r="EL10" s="106"/>
      <c r="EM10" s="44"/>
      <c r="EN10" s="44"/>
      <c r="EO10" s="44"/>
      <c r="EP10" s="108"/>
      <c r="EQ10" s="106"/>
      <c r="ER10" s="44"/>
      <c r="ES10" s="44"/>
      <c r="ET10" s="44"/>
      <c r="EU10" s="44"/>
      <c r="EV10" s="112"/>
      <c r="EW10" s="18"/>
      <c r="EX10" s="18"/>
      <c r="EY10" s="18"/>
      <c r="EZ10" s="111"/>
      <c r="FA10" s="18">
        <v>9</v>
      </c>
      <c r="FB10" s="44">
        <v>25.29</v>
      </c>
      <c r="FC10" s="44">
        <v>13.96</v>
      </c>
      <c r="FD10" s="44">
        <v>38.58</v>
      </c>
      <c r="FE10" s="108">
        <v>1.47E-2</v>
      </c>
      <c r="FF10" s="106">
        <v>11</v>
      </c>
      <c r="FG10" s="18">
        <v>7941</v>
      </c>
      <c r="FH10" s="18">
        <v>432</v>
      </c>
      <c r="FI10" s="18">
        <v>36</v>
      </c>
      <c r="FJ10" s="108">
        <v>8.9700000000000002E-2</v>
      </c>
    </row>
    <row r="11" spans="1:166" ht="30" x14ac:dyDescent="0.25">
      <c r="A11" s="114" t="s">
        <v>257</v>
      </c>
      <c r="B11" s="106"/>
      <c r="C11" s="44"/>
      <c r="D11" s="44"/>
      <c r="E11" s="44"/>
      <c r="F11" s="108"/>
      <c r="G11" s="106"/>
      <c r="H11" s="44"/>
      <c r="I11" s="44"/>
      <c r="J11" s="44"/>
      <c r="K11" s="108"/>
      <c r="L11" s="106"/>
      <c r="M11" s="44"/>
      <c r="N11" s="44"/>
      <c r="O11" s="44"/>
      <c r="P11" s="108"/>
      <c r="Q11" s="106"/>
      <c r="R11" s="18"/>
      <c r="S11" s="18"/>
      <c r="T11" s="44"/>
      <c r="U11" s="108"/>
      <c r="V11" s="106"/>
      <c r="W11" s="18"/>
      <c r="X11" s="18"/>
      <c r="Y11" s="18"/>
      <c r="Z11" s="44"/>
      <c r="AA11" s="106">
        <v>11</v>
      </c>
      <c r="AB11" s="44">
        <v>34612.870000000003</v>
      </c>
      <c r="AC11" s="44">
        <v>2338.14</v>
      </c>
      <c r="AD11" s="44">
        <v>268.33</v>
      </c>
      <c r="AE11" s="108">
        <v>0.70009999999999994</v>
      </c>
      <c r="AF11" s="44"/>
      <c r="AG11" s="167">
        <v>23319.83</v>
      </c>
      <c r="AH11" s="167">
        <v>353.1</v>
      </c>
      <c r="AI11" s="167">
        <v>186.52</v>
      </c>
      <c r="AJ11" s="169">
        <v>0.56659999999999999</v>
      </c>
      <c r="AK11" s="106"/>
      <c r="AL11" s="44"/>
      <c r="AM11" s="44"/>
      <c r="AN11" s="44"/>
      <c r="AO11" s="108"/>
      <c r="AP11" s="106"/>
      <c r="AQ11" s="44"/>
      <c r="AR11" s="44"/>
      <c r="AS11" s="44"/>
      <c r="AT11" s="108"/>
      <c r="AU11" s="18"/>
      <c r="AV11" s="44"/>
      <c r="AW11" s="44"/>
      <c r="AX11" s="44"/>
      <c r="AY11" s="44"/>
      <c r="AZ11" s="106"/>
      <c r="BA11" s="44"/>
      <c r="BB11" s="44"/>
      <c r="BC11" s="44"/>
      <c r="BD11" s="44"/>
      <c r="BE11" s="106"/>
      <c r="BF11" s="18"/>
      <c r="BG11" s="18"/>
      <c r="BH11" s="18"/>
      <c r="BI11" s="108"/>
      <c r="BJ11" s="106"/>
      <c r="BK11" s="18"/>
      <c r="BL11" s="18"/>
      <c r="BM11" s="18"/>
      <c r="BN11" s="108"/>
      <c r="BO11" s="110"/>
      <c r="BP11" s="44"/>
      <c r="BQ11" s="44"/>
      <c r="BR11" s="44"/>
      <c r="BS11" s="44"/>
      <c r="BT11" s="35"/>
      <c r="BU11" s="35"/>
      <c r="BV11" s="35"/>
      <c r="BW11" s="35"/>
      <c r="BX11" s="35"/>
      <c r="BY11" s="106"/>
      <c r="BZ11" s="18"/>
      <c r="CA11" s="18"/>
      <c r="CB11" s="18"/>
      <c r="CC11" s="44"/>
      <c r="CD11" s="106"/>
      <c r="CE11" s="18"/>
      <c r="CF11" s="18"/>
      <c r="CG11" s="18"/>
      <c r="CH11" s="44"/>
      <c r="CI11" s="106"/>
      <c r="CJ11" s="18"/>
      <c r="CK11" s="18"/>
      <c r="CL11" s="18"/>
      <c r="CM11" s="107"/>
      <c r="CN11" s="106"/>
      <c r="CO11" s="18"/>
      <c r="CP11" s="18"/>
      <c r="CQ11" s="18"/>
      <c r="CR11" s="44"/>
      <c r="CS11" s="106"/>
      <c r="CT11" s="18"/>
      <c r="CU11" s="18"/>
      <c r="CV11" s="18"/>
      <c r="CW11" s="108"/>
      <c r="CX11" s="44"/>
      <c r="CY11" s="44"/>
      <c r="CZ11" s="44"/>
      <c r="DA11" s="44"/>
      <c r="DB11" s="44"/>
      <c r="DC11" s="106"/>
      <c r="DD11" s="44"/>
      <c r="DE11" s="44"/>
      <c r="DF11" s="44"/>
      <c r="DG11" s="107"/>
      <c r="DH11" s="44"/>
      <c r="DI11" s="18"/>
      <c r="DJ11" s="18"/>
      <c r="DK11" s="18"/>
      <c r="DL11" s="108"/>
      <c r="DM11" s="106"/>
      <c r="DN11" s="44"/>
      <c r="DO11" s="44"/>
      <c r="DP11" s="44"/>
      <c r="DQ11" s="44"/>
      <c r="DR11" s="110"/>
      <c r="DS11" s="44"/>
      <c r="DT11" s="44"/>
      <c r="DU11" s="44"/>
      <c r="DV11" s="44"/>
      <c r="DW11" s="110"/>
      <c r="DX11" s="44"/>
      <c r="DY11" s="44"/>
      <c r="DZ11" s="44"/>
      <c r="EA11" s="44"/>
      <c r="EB11" s="106"/>
      <c r="EC11" s="44"/>
      <c r="ED11" s="44"/>
      <c r="EE11" s="44"/>
      <c r="EF11" s="44"/>
      <c r="EG11" s="106"/>
      <c r="EH11" s="44"/>
      <c r="EI11" s="44"/>
      <c r="EJ11" s="44"/>
      <c r="EK11" s="44"/>
      <c r="EL11" s="106"/>
      <c r="EM11" s="44"/>
      <c r="EN11" s="44"/>
      <c r="EO11" s="44"/>
      <c r="EP11" s="44"/>
      <c r="EQ11" s="106"/>
      <c r="ER11" s="44"/>
      <c r="ES11" s="44"/>
      <c r="ET11" s="44"/>
      <c r="EU11" s="44"/>
      <c r="EV11" s="110"/>
      <c r="EW11" s="18"/>
      <c r="EX11" s="18"/>
      <c r="EY11" s="18"/>
      <c r="EZ11" s="111"/>
      <c r="FA11" s="18">
        <v>17</v>
      </c>
      <c r="FB11" s="44">
        <v>2120.54</v>
      </c>
      <c r="FC11" s="44">
        <v>178.74</v>
      </c>
      <c r="FD11" s="44">
        <v>770.33</v>
      </c>
      <c r="FE11" s="108">
        <v>0.57850000000000001</v>
      </c>
      <c r="FF11" s="106">
        <v>6</v>
      </c>
      <c r="FG11" s="18"/>
      <c r="FH11" s="18"/>
      <c r="FI11" s="18">
        <v>303</v>
      </c>
      <c r="FJ11" s="108">
        <v>3.2000000000000002E-3</v>
      </c>
    </row>
    <row r="12" spans="1:166" x14ac:dyDescent="0.25">
      <c r="A12" s="114" t="s">
        <v>258</v>
      </c>
      <c r="B12" s="106"/>
      <c r="C12" s="44"/>
      <c r="D12" s="44"/>
      <c r="E12" s="44"/>
      <c r="F12" s="108"/>
      <c r="G12" s="106"/>
      <c r="H12" s="44"/>
      <c r="I12" s="44"/>
      <c r="J12" s="44"/>
      <c r="K12" s="108"/>
      <c r="L12" s="106"/>
      <c r="M12" s="44"/>
      <c r="N12" s="44"/>
      <c r="O12" s="44"/>
      <c r="P12" s="108"/>
      <c r="Q12" s="106"/>
      <c r="R12" s="18"/>
      <c r="S12" s="18"/>
      <c r="T12" s="44"/>
      <c r="U12" s="108"/>
      <c r="V12" s="106"/>
      <c r="W12" s="18"/>
      <c r="X12" s="18"/>
      <c r="Y12" s="18"/>
      <c r="Z12" s="44"/>
      <c r="AA12" s="106"/>
      <c r="AB12" s="44"/>
      <c r="AC12" s="44"/>
      <c r="AD12" s="44"/>
      <c r="AE12" s="108"/>
      <c r="AF12" s="44"/>
      <c r="AG12" s="168"/>
      <c r="AH12" s="168"/>
      <c r="AI12" s="168"/>
      <c r="AJ12" s="170"/>
      <c r="AK12" s="106"/>
      <c r="AL12" s="44"/>
      <c r="AM12" s="44"/>
      <c r="AN12" s="44"/>
      <c r="AO12" s="108"/>
      <c r="AP12" s="106"/>
      <c r="AQ12" s="44"/>
      <c r="AR12" s="44"/>
      <c r="AS12" s="44"/>
      <c r="AT12" s="108"/>
      <c r="AU12" s="18"/>
      <c r="AV12" s="44"/>
      <c r="AW12" s="44"/>
      <c r="AX12" s="44"/>
      <c r="AY12" s="44"/>
      <c r="AZ12" s="106"/>
      <c r="BA12" s="44"/>
      <c r="BB12" s="44"/>
      <c r="BC12" s="44"/>
      <c r="BD12" s="44"/>
      <c r="BE12" s="106"/>
      <c r="BF12" s="44"/>
      <c r="BG12" s="44"/>
      <c r="BH12" s="44"/>
      <c r="BI12" s="44"/>
      <c r="BJ12" s="106"/>
      <c r="BK12" s="18"/>
      <c r="BL12" s="18"/>
      <c r="BM12" s="18"/>
      <c r="BN12" s="108"/>
      <c r="BO12" s="110"/>
      <c r="BP12" s="44"/>
      <c r="BQ12" s="44"/>
      <c r="BR12" s="44"/>
      <c r="BS12" s="44"/>
      <c r="BT12" s="106">
        <v>17</v>
      </c>
      <c r="BU12" s="44"/>
      <c r="BV12" s="44"/>
      <c r="BW12" s="44">
        <v>15666</v>
      </c>
      <c r="BX12" s="108">
        <v>3.2899999999999999E-2</v>
      </c>
      <c r="BY12" s="106"/>
      <c r="BZ12" s="18"/>
      <c r="CA12" s="18"/>
      <c r="CB12" s="18"/>
      <c r="CC12" s="44"/>
      <c r="CD12" s="106"/>
      <c r="CE12" s="18"/>
      <c r="CF12" s="18"/>
      <c r="CG12" s="18"/>
      <c r="CH12" s="44"/>
      <c r="CI12" s="106"/>
      <c r="CJ12" s="18"/>
      <c r="CK12" s="18"/>
      <c r="CL12" s="18"/>
      <c r="CM12" s="107"/>
      <c r="CN12" s="106"/>
      <c r="CO12" s="18"/>
      <c r="CP12" s="18"/>
      <c r="CQ12" s="18"/>
      <c r="CR12" s="44"/>
      <c r="CS12" s="106"/>
      <c r="CT12" s="18"/>
      <c r="CU12" s="18"/>
      <c r="CV12" s="18"/>
      <c r="CW12" s="108"/>
      <c r="CX12" s="44"/>
      <c r="CY12" s="44"/>
      <c r="CZ12" s="44"/>
      <c r="DA12" s="44"/>
      <c r="DB12" s="44"/>
      <c r="DC12" s="106"/>
      <c r="DD12" s="44"/>
      <c r="DE12" s="44"/>
      <c r="DF12" s="44"/>
      <c r="DG12" s="107"/>
      <c r="DH12" s="44"/>
      <c r="DI12" s="18"/>
      <c r="DJ12" s="18"/>
      <c r="DK12" s="18"/>
      <c r="DL12" s="108"/>
      <c r="DM12" s="106"/>
      <c r="DN12" s="44"/>
      <c r="DO12" s="44"/>
      <c r="DP12" s="44"/>
      <c r="DQ12" s="44"/>
      <c r="DR12" s="110"/>
      <c r="DS12" s="44"/>
      <c r="DT12" s="44"/>
      <c r="DU12" s="44"/>
      <c r="DV12" s="44"/>
      <c r="DW12" s="110"/>
      <c r="DX12" s="44"/>
      <c r="DY12" s="44"/>
      <c r="DZ12" s="44"/>
      <c r="EA12" s="44"/>
      <c r="EB12" s="106"/>
      <c r="EC12" s="44"/>
      <c r="ED12" s="44"/>
      <c r="EE12" s="44"/>
      <c r="EF12" s="44"/>
      <c r="EG12" s="106"/>
      <c r="EH12" s="44"/>
      <c r="EI12" s="44"/>
      <c r="EJ12" s="44"/>
      <c r="EK12" s="44"/>
      <c r="EL12" s="106"/>
      <c r="EM12" s="44"/>
      <c r="EN12" s="44"/>
      <c r="EO12" s="44"/>
      <c r="EP12" s="44"/>
      <c r="EQ12" s="106"/>
      <c r="ER12" s="44"/>
      <c r="ES12" s="44"/>
      <c r="ET12" s="44"/>
      <c r="EU12" s="44"/>
      <c r="EV12" s="110"/>
      <c r="EW12" s="18"/>
      <c r="EX12" s="18"/>
      <c r="EY12" s="18"/>
      <c r="EZ12" s="111"/>
      <c r="FA12" s="18"/>
      <c r="FB12" s="44"/>
      <c r="FC12" s="44"/>
      <c r="FD12" s="44"/>
      <c r="FE12" s="108"/>
      <c r="FF12" s="106"/>
      <c r="FG12" s="18"/>
      <c r="FH12" s="18"/>
      <c r="FI12" s="18"/>
      <c r="FJ12" s="44"/>
    </row>
    <row r="13" spans="1:166" x14ac:dyDescent="0.25">
      <c r="A13" s="44" t="s">
        <v>259</v>
      </c>
      <c r="B13" s="106"/>
      <c r="C13" s="44"/>
      <c r="D13" s="44"/>
      <c r="E13" s="44"/>
      <c r="F13" s="108"/>
      <c r="G13" s="106"/>
      <c r="H13" s="44"/>
      <c r="I13" s="44"/>
      <c r="J13" s="44"/>
      <c r="K13" s="108"/>
      <c r="L13" s="106">
        <v>10</v>
      </c>
      <c r="M13" s="44">
        <v>472045.76</v>
      </c>
      <c r="N13" s="44">
        <v>11466.84</v>
      </c>
      <c r="O13" s="44">
        <v>2.09</v>
      </c>
      <c r="P13" s="108">
        <v>0.79069999999999996</v>
      </c>
      <c r="Q13" s="106"/>
      <c r="R13" s="18"/>
      <c r="S13" s="18"/>
      <c r="T13" s="44"/>
      <c r="U13" s="108"/>
      <c r="V13" s="106"/>
      <c r="W13" s="18"/>
      <c r="X13" s="18"/>
      <c r="Y13" s="18"/>
      <c r="Z13" s="44"/>
      <c r="AA13" s="106"/>
      <c r="AB13" s="44"/>
      <c r="AC13" s="44"/>
      <c r="AD13" s="44"/>
      <c r="AE13" s="44"/>
      <c r="AF13" s="44"/>
      <c r="AG13" s="44"/>
      <c r="AH13" s="44"/>
      <c r="AI13" s="44"/>
      <c r="AJ13" s="44"/>
      <c r="AK13" s="106"/>
      <c r="AL13" s="44"/>
      <c r="AM13" s="44"/>
      <c r="AN13" s="44"/>
      <c r="AO13" s="108"/>
      <c r="AP13" s="106"/>
      <c r="AQ13" s="44"/>
      <c r="AR13" s="44"/>
      <c r="AS13" s="44"/>
      <c r="AT13" s="108"/>
      <c r="AU13" s="18"/>
      <c r="AV13" s="44"/>
      <c r="AW13" s="44"/>
      <c r="AX13" s="44"/>
      <c r="AY13" s="44"/>
      <c r="AZ13" s="106"/>
      <c r="BA13" s="44"/>
      <c r="BB13" s="44"/>
      <c r="BC13" s="44"/>
      <c r="BD13" s="44"/>
      <c r="BE13" s="106">
        <v>9</v>
      </c>
      <c r="BF13" s="44"/>
      <c r="BG13" s="44"/>
      <c r="BH13" s="44">
        <v>970</v>
      </c>
      <c r="BI13" s="108">
        <v>1.2999999999999999E-3</v>
      </c>
      <c r="BJ13" s="106"/>
      <c r="BK13" s="18"/>
      <c r="BL13" s="18"/>
      <c r="BM13" s="18"/>
      <c r="BN13" s="108"/>
      <c r="BO13" s="106">
        <v>13</v>
      </c>
      <c r="BP13" s="44">
        <v>-0.5</v>
      </c>
      <c r="BQ13" s="44"/>
      <c r="BR13" s="44">
        <v>868.8</v>
      </c>
      <c r="BS13" s="108">
        <v>9.7999999999999997E-3</v>
      </c>
      <c r="BT13" s="106"/>
      <c r="BU13" s="18"/>
      <c r="BV13" s="18"/>
      <c r="BW13" s="18"/>
      <c r="BX13" s="44"/>
      <c r="BY13" s="106">
        <v>16</v>
      </c>
      <c r="BZ13" s="18"/>
      <c r="CA13" s="18"/>
      <c r="CB13" s="18">
        <v>2414</v>
      </c>
      <c r="CC13" s="108">
        <v>0.01</v>
      </c>
      <c r="CD13" s="106">
        <v>2</v>
      </c>
      <c r="CE13" s="18"/>
      <c r="CF13" s="18"/>
      <c r="CG13" s="18">
        <v>14</v>
      </c>
      <c r="CH13" s="108">
        <v>0.01</v>
      </c>
      <c r="CI13" s="106"/>
      <c r="CJ13" s="18"/>
      <c r="CK13" s="18"/>
      <c r="CL13" s="18"/>
      <c r="CM13" s="107"/>
      <c r="CN13" s="106"/>
      <c r="CO13" s="18"/>
      <c r="CP13" s="18"/>
      <c r="CQ13" s="18"/>
      <c r="CR13" s="108"/>
      <c r="CS13" s="106"/>
      <c r="CT13" s="18"/>
      <c r="CU13" s="18"/>
      <c r="CV13" s="18"/>
      <c r="CW13" s="108"/>
      <c r="CX13" s="44"/>
      <c r="CY13" s="44"/>
      <c r="CZ13" s="44"/>
      <c r="DA13" s="44"/>
      <c r="DB13" s="44"/>
      <c r="DC13" s="106"/>
      <c r="DD13" s="44"/>
      <c r="DE13" s="44"/>
      <c r="DF13" s="44"/>
      <c r="DG13" s="107"/>
      <c r="DH13" s="44"/>
      <c r="DI13" s="18"/>
      <c r="DJ13" s="18"/>
      <c r="DK13" s="18"/>
      <c r="DL13" s="108"/>
      <c r="DM13" s="106"/>
      <c r="DN13" s="44"/>
      <c r="DO13" s="44"/>
      <c r="DP13" s="44"/>
      <c r="DQ13" s="44"/>
      <c r="DR13" s="106">
        <v>18</v>
      </c>
      <c r="DS13" s="44">
        <v>2888.69</v>
      </c>
      <c r="DT13" s="44">
        <v>127.36</v>
      </c>
      <c r="DU13" s="44">
        <v>3121.68</v>
      </c>
      <c r="DV13" s="111">
        <v>0.1666</v>
      </c>
      <c r="DW13" s="106"/>
      <c r="DX13" s="44"/>
      <c r="DY13" s="44"/>
      <c r="DZ13" s="44"/>
      <c r="EA13" s="108"/>
      <c r="EB13" s="106"/>
      <c r="EC13" s="44"/>
      <c r="ED13" s="44"/>
      <c r="EE13" s="44"/>
      <c r="EF13" s="44"/>
      <c r="EG13" s="106">
        <v>14</v>
      </c>
      <c r="EH13" s="44"/>
      <c r="EI13" s="44"/>
      <c r="EJ13" s="44">
        <v>1228.52</v>
      </c>
      <c r="EK13" s="108">
        <v>6.7000000000000002E-3</v>
      </c>
      <c r="EL13" s="106"/>
      <c r="EM13" s="44"/>
      <c r="EN13" s="44"/>
      <c r="EO13" s="44"/>
      <c r="EP13" s="44"/>
      <c r="EQ13" s="106"/>
      <c r="ER13" s="44"/>
      <c r="ES13" s="44"/>
      <c r="ET13" s="44"/>
      <c r="EU13" s="44"/>
      <c r="EV13" s="106">
        <v>13</v>
      </c>
      <c r="EW13" s="18"/>
      <c r="EX13" s="18"/>
      <c r="EY13" s="18">
        <v>178</v>
      </c>
      <c r="EZ13" s="111"/>
      <c r="FA13" s="18"/>
      <c r="FB13" s="44"/>
      <c r="FC13" s="44"/>
      <c r="FD13" s="44"/>
      <c r="FE13" s="108"/>
      <c r="FF13" s="106"/>
      <c r="FG13" s="18"/>
      <c r="FH13" s="18"/>
      <c r="FI13" s="18"/>
      <c r="FJ13" s="44"/>
    </row>
    <row r="14" spans="1:166" x14ac:dyDescent="0.25">
      <c r="A14" s="44" t="s">
        <v>328</v>
      </c>
      <c r="B14" s="106"/>
      <c r="C14" s="44"/>
      <c r="D14" s="44"/>
      <c r="E14" s="44"/>
      <c r="F14" s="108"/>
      <c r="G14" s="106"/>
      <c r="H14" s="44"/>
      <c r="I14" s="44"/>
      <c r="J14" s="44"/>
      <c r="K14" s="108"/>
      <c r="L14" s="106"/>
      <c r="M14" s="44"/>
      <c r="N14" s="44"/>
      <c r="O14" s="44"/>
      <c r="P14" s="108"/>
      <c r="Q14" s="106"/>
      <c r="R14" s="18"/>
      <c r="S14" s="18"/>
      <c r="T14" s="44"/>
      <c r="U14" s="108"/>
      <c r="V14" s="106"/>
      <c r="W14" s="18"/>
      <c r="X14" s="18"/>
      <c r="Y14" s="18"/>
      <c r="Z14" s="44"/>
      <c r="AA14" s="106"/>
      <c r="AB14" s="44"/>
      <c r="AC14" s="44"/>
      <c r="AD14" s="44"/>
      <c r="AE14" s="44"/>
      <c r="AF14" s="44"/>
      <c r="AG14" s="44"/>
      <c r="AH14" s="44"/>
      <c r="AI14" s="44"/>
      <c r="AJ14" s="44"/>
      <c r="AK14" s="106"/>
      <c r="AL14" s="44"/>
      <c r="AM14" s="44"/>
      <c r="AN14" s="44"/>
      <c r="AO14" s="108"/>
      <c r="AP14" s="106"/>
      <c r="AQ14" s="44"/>
      <c r="AR14" s="44"/>
      <c r="AS14" s="44"/>
      <c r="AT14" s="108"/>
      <c r="AU14" s="18"/>
      <c r="AV14" s="44"/>
      <c r="AW14" s="44"/>
      <c r="AX14" s="44"/>
      <c r="AY14" s="44"/>
      <c r="AZ14" s="106"/>
      <c r="BA14" s="44"/>
      <c r="BB14" s="44"/>
      <c r="BC14" s="44"/>
      <c r="BD14" s="44"/>
      <c r="BE14" s="106"/>
      <c r="BF14" s="44"/>
      <c r="BG14" s="44"/>
      <c r="BH14" s="44"/>
      <c r="BI14" s="108"/>
      <c r="BJ14" s="106"/>
      <c r="BK14" s="18"/>
      <c r="BL14" s="18"/>
      <c r="BM14" s="18"/>
      <c r="BN14" s="108"/>
      <c r="BO14" s="106"/>
      <c r="BP14" s="44"/>
      <c r="BQ14" s="44"/>
      <c r="BR14" s="44"/>
      <c r="BS14" s="108"/>
      <c r="BT14" s="106"/>
      <c r="BU14" s="18"/>
      <c r="BV14" s="18"/>
      <c r="BW14" s="18"/>
      <c r="BX14" s="44"/>
      <c r="BY14" s="106"/>
      <c r="BZ14" s="18"/>
      <c r="CA14" s="18"/>
      <c r="CB14" s="18"/>
      <c r="CC14" s="108"/>
      <c r="CD14" s="106"/>
      <c r="CE14" s="18"/>
      <c r="CF14" s="18"/>
      <c r="CG14" s="18"/>
      <c r="CH14" s="108"/>
      <c r="CI14" s="106"/>
      <c r="CJ14" s="18"/>
      <c r="CK14" s="18"/>
      <c r="CL14" s="18"/>
      <c r="CM14" s="107"/>
      <c r="CN14" s="106"/>
      <c r="CO14" s="18"/>
      <c r="CP14" s="18"/>
      <c r="CQ14" s="18"/>
      <c r="CR14" s="108"/>
      <c r="CS14" s="106"/>
      <c r="CT14" s="18"/>
      <c r="CU14" s="18"/>
      <c r="CV14" s="18"/>
      <c r="CW14" s="108"/>
      <c r="CX14" s="44"/>
      <c r="CY14" s="44"/>
      <c r="CZ14" s="44"/>
      <c r="DA14" s="44"/>
      <c r="DB14" s="44"/>
      <c r="DC14" s="106">
        <v>4</v>
      </c>
      <c r="DD14" s="44">
        <v>69261.179999999993</v>
      </c>
      <c r="DE14" s="44">
        <v>2673.38</v>
      </c>
      <c r="DF14" s="44">
        <v>23401.51</v>
      </c>
      <c r="DG14" s="111">
        <v>0.69440000000000002</v>
      </c>
      <c r="DH14" s="44"/>
      <c r="DI14" s="18"/>
      <c r="DJ14" s="18"/>
      <c r="DK14" s="18"/>
      <c r="DL14" s="108"/>
      <c r="DM14" s="106"/>
      <c r="DN14" s="44"/>
      <c r="DO14" s="44"/>
      <c r="DP14" s="44"/>
      <c r="DQ14" s="44"/>
      <c r="DR14" s="106"/>
      <c r="DS14" s="44"/>
      <c r="DT14" s="44"/>
      <c r="DU14" s="44"/>
      <c r="DV14" s="111"/>
      <c r="DW14" s="106"/>
      <c r="DX14" s="44"/>
      <c r="DY14" s="44"/>
      <c r="DZ14" s="44"/>
      <c r="EA14" s="108"/>
      <c r="EB14" s="106"/>
      <c r="EC14" s="44"/>
      <c r="ED14" s="44"/>
      <c r="EE14" s="44"/>
      <c r="EF14" s="44"/>
      <c r="EG14" s="106"/>
      <c r="EH14" s="44"/>
      <c r="EI14" s="44"/>
      <c r="EJ14" s="44"/>
      <c r="EK14" s="108"/>
      <c r="EL14" s="106"/>
      <c r="EM14" s="44"/>
      <c r="EN14" s="44"/>
      <c r="EO14" s="44"/>
      <c r="EP14" s="44"/>
      <c r="EQ14" s="106"/>
      <c r="ER14" s="44"/>
      <c r="ES14" s="44"/>
      <c r="ET14" s="44"/>
      <c r="EU14" s="44"/>
      <c r="EV14" s="106"/>
      <c r="EW14" s="18"/>
      <c r="EX14" s="18"/>
      <c r="EY14" s="18"/>
      <c r="EZ14" s="111"/>
      <c r="FA14" s="18"/>
      <c r="FB14" s="44"/>
      <c r="FC14" s="44"/>
      <c r="FD14" s="44"/>
      <c r="FE14" s="108"/>
      <c r="FF14" s="106"/>
      <c r="FG14" s="18"/>
      <c r="FH14" s="18"/>
      <c r="FI14" s="18"/>
      <c r="FJ14" s="44"/>
    </row>
    <row r="15" spans="1:166" x14ac:dyDescent="0.25">
      <c r="A15" s="115" t="s">
        <v>231</v>
      </c>
      <c r="B15" s="116">
        <v>3</v>
      </c>
      <c r="C15" s="115">
        <v>6.38</v>
      </c>
      <c r="D15" s="115">
        <v>48.63</v>
      </c>
      <c r="E15" s="115"/>
      <c r="F15" s="117">
        <v>1</v>
      </c>
      <c r="G15" s="116">
        <v>3</v>
      </c>
      <c r="H15" s="115">
        <v>442.13</v>
      </c>
      <c r="I15" s="115"/>
      <c r="J15" s="115">
        <v>3.61</v>
      </c>
      <c r="K15" s="117">
        <v>1</v>
      </c>
      <c r="L15" s="116">
        <v>60</v>
      </c>
      <c r="M15" s="115">
        <v>591796.78</v>
      </c>
      <c r="N15" s="115">
        <v>19722.78</v>
      </c>
      <c r="O15" s="115">
        <v>2.09</v>
      </c>
      <c r="P15" s="117">
        <v>1</v>
      </c>
      <c r="Q15" s="116">
        <v>5</v>
      </c>
      <c r="R15" s="26">
        <v>27058</v>
      </c>
      <c r="S15" s="26">
        <v>249</v>
      </c>
      <c r="T15" s="115"/>
      <c r="U15" s="117">
        <v>1</v>
      </c>
      <c r="V15" s="116">
        <v>121</v>
      </c>
      <c r="W15" s="26">
        <v>87622</v>
      </c>
      <c r="X15" s="26">
        <v>5947</v>
      </c>
      <c r="Y15" s="26">
        <v>11108</v>
      </c>
      <c r="Z15" s="117">
        <v>1</v>
      </c>
      <c r="AA15" s="116">
        <v>46</v>
      </c>
      <c r="AB15" s="115">
        <v>46389.35</v>
      </c>
      <c r="AC15" s="115">
        <v>3796.58</v>
      </c>
      <c r="AD15" s="115">
        <v>2975.84</v>
      </c>
      <c r="AE15" s="117">
        <v>1</v>
      </c>
      <c r="AF15" s="115"/>
      <c r="AG15" s="115">
        <v>39830.080000000002</v>
      </c>
      <c r="AH15" s="115">
        <v>516.42999999999995</v>
      </c>
      <c r="AI15" s="115">
        <v>1760.29</v>
      </c>
      <c r="AJ15" s="117">
        <v>1</v>
      </c>
      <c r="AK15" s="116">
        <v>3</v>
      </c>
      <c r="AL15" s="115">
        <v>2081.54</v>
      </c>
      <c r="AM15" s="115">
        <v>13.07</v>
      </c>
      <c r="AN15" s="115">
        <v>9.39</v>
      </c>
      <c r="AO15" s="117">
        <v>1</v>
      </c>
      <c r="AP15" s="116">
        <v>7</v>
      </c>
      <c r="AQ15" s="115">
        <v>4929.12</v>
      </c>
      <c r="AR15" s="115">
        <v>131.15</v>
      </c>
      <c r="AS15" s="115"/>
      <c r="AT15" s="117">
        <v>1</v>
      </c>
      <c r="AU15" s="26">
        <v>6</v>
      </c>
      <c r="AV15" s="115">
        <v>100.82</v>
      </c>
      <c r="AW15" s="115"/>
      <c r="AX15" s="115">
        <v>11.74</v>
      </c>
      <c r="AY15" s="117">
        <v>1</v>
      </c>
      <c r="AZ15" s="116">
        <v>11</v>
      </c>
      <c r="BA15" s="115">
        <v>10089.75</v>
      </c>
      <c r="BB15" s="115"/>
      <c r="BC15" s="115"/>
      <c r="BD15" s="117">
        <v>1</v>
      </c>
      <c r="BE15" s="116">
        <v>63</v>
      </c>
      <c r="BF15" s="26">
        <v>5068</v>
      </c>
      <c r="BG15" s="115">
        <v>1817</v>
      </c>
      <c r="BH15" s="115">
        <v>3853</v>
      </c>
      <c r="BI15" s="117">
        <v>1</v>
      </c>
      <c r="BJ15" s="116">
        <v>11</v>
      </c>
      <c r="BK15" s="26">
        <v>1705</v>
      </c>
      <c r="BL15" s="26">
        <v>45</v>
      </c>
      <c r="BM15" s="26">
        <v>1111</v>
      </c>
      <c r="BN15" s="117">
        <v>1</v>
      </c>
      <c r="BO15" s="116">
        <v>161</v>
      </c>
      <c r="BP15" s="115">
        <v>78975.100000000006</v>
      </c>
      <c r="BQ15" s="115">
        <v>2615.3000000000002</v>
      </c>
      <c r="BR15" s="115">
        <v>7318.9</v>
      </c>
      <c r="BS15" s="117">
        <v>1</v>
      </c>
      <c r="BT15" s="116">
        <v>286</v>
      </c>
      <c r="BU15" s="26">
        <v>388828</v>
      </c>
      <c r="BV15" s="26">
        <v>23558</v>
      </c>
      <c r="BW15" s="26">
        <v>63137</v>
      </c>
      <c r="BX15" s="117">
        <v>1</v>
      </c>
      <c r="BY15" s="116">
        <v>183</v>
      </c>
      <c r="BZ15" s="26">
        <v>179097</v>
      </c>
      <c r="CA15" s="26">
        <v>9451</v>
      </c>
      <c r="CB15" s="26">
        <v>16833</v>
      </c>
      <c r="CC15" s="117">
        <v>1</v>
      </c>
      <c r="CD15" s="116">
        <v>7</v>
      </c>
      <c r="CE15" s="26">
        <v>1998</v>
      </c>
      <c r="CF15" s="26">
        <v>488</v>
      </c>
      <c r="CG15" s="26">
        <v>26</v>
      </c>
      <c r="CH15" s="117">
        <v>1</v>
      </c>
      <c r="CI15" s="116">
        <v>19</v>
      </c>
      <c r="CJ15" s="26">
        <v>2968</v>
      </c>
      <c r="CK15" s="26">
        <v>467</v>
      </c>
      <c r="CL15" s="26">
        <v>14</v>
      </c>
      <c r="CM15" s="117">
        <v>1</v>
      </c>
      <c r="CN15" s="116">
        <v>35</v>
      </c>
      <c r="CO15" s="26">
        <v>6795</v>
      </c>
      <c r="CP15" s="26">
        <v>112</v>
      </c>
      <c r="CQ15" s="26">
        <v>85</v>
      </c>
      <c r="CR15" s="117">
        <v>1</v>
      </c>
      <c r="CS15" s="116">
        <v>3</v>
      </c>
      <c r="CT15" s="26">
        <v>16636</v>
      </c>
      <c r="CU15" s="26">
        <v>38</v>
      </c>
      <c r="CV15" s="26"/>
      <c r="CW15" s="117">
        <v>1</v>
      </c>
      <c r="CX15" s="26"/>
      <c r="CY15" s="115">
        <f>SUM(CY8:CY14)</f>
        <v>326321.29317770002</v>
      </c>
      <c r="CZ15" s="26">
        <f>SUM(CZ8:CZ14)</f>
        <v>46963.706645144979</v>
      </c>
      <c r="DA15" s="115">
        <f>SUM(DA8:DA14)</f>
        <v>140516.97684219998</v>
      </c>
      <c r="DB15" s="115">
        <f>SUM(DB8:DB14)</f>
        <v>100.00000000000001</v>
      </c>
      <c r="DC15" s="116">
        <v>250</v>
      </c>
      <c r="DD15" s="115">
        <v>74680.61</v>
      </c>
      <c r="DE15" s="115">
        <v>5626.02</v>
      </c>
      <c r="DF15" s="115">
        <v>56985.24</v>
      </c>
      <c r="DG15" s="118">
        <v>1</v>
      </c>
      <c r="DH15" s="115"/>
      <c r="DI15" s="26"/>
      <c r="DJ15" s="26"/>
      <c r="DK15" s="26"/>
      <c r="DL15" s="117"/>
      <c r="DM15" s="116">
        <v>7</v>
      </c>
      <c r="DN15" s="115">
        <v>595.4</v>
      </c>
      <c r="DO15" s="115">
        <v>770.2</v>
      </c>
      <c r="DP15" s="115">
        <v>324.72000000000003</v>
      </c>
      <c r="DQ15" s="117">
        <v>1</v>
      </c>
      <c r="DR15" s="116">
        <v>132</v>
      </c>
      <c r="DS15" s="115">
        <v>31375.15</v>
      </c>
      <c r="DT15" s="115">
        <v>1364.6</v>
      </c>
      <c r="DU15" s="115">
        <v>4095.05</v>
      </c>
      <c r="DV15" s="118">
        <v>1</v>
      </c>
      <c r="DW15" s="116">
        <v>4</v>
      </c>
      <c r="DX15" s="115">
        <v>28712.400000000001</v>
      </c>
      <c r="DY15" s="115">
        <v>158.5</v>
      </c>
      <c r="DZ15" s="115">
        <v>20.100000000000001</v>
      </c>
      <c r="EA15" s="118">
        <v>1</v>
      </c>
      <c r="EB15" s="116">
        <v>24</v>
      </c>
      <c r="EC15" s="115">
        <v>55438.99</v>
      </c>
      <c r="ED15" s="115">
        <v>2448.15</v>
      </c>
      <c r="EE15" s="115">
        <v>1930.64</v>
      </c>
      <c r="EF15" s="117">
        <v>1</v>
      </c>
      <c r="EG15" s="116">
        <v>118</v>
      </c>
      <c r="EH15" s="115">
        <v>171116.28</v>
      </c>
      <c r="EI15" s="115">
        <v>8534.2800000000007</v>
      </c>
      <c r="EJ15" s="115">
        <v>2928.71</v>
      </c>
      <c r="EK15" s="117">
        <v>1</v>
      </c>
      <c r="EL15" s="116">
        <v>21</v>
      </c>
      <c r="EM15" s="115">
        <v>1528.22</v>
      </c>
      <c r="EN15" s="115">
        <v>463.46</v>
      </c>
      <c r="EO15" s="115">
        <v>97.7</v>
      </c>
      <c r="EP15" s="117">
        <v>1</v>
      </c>
      <c r="EQ15" s="116">
        <v>1</v>
      </c>
      <c r="ER15" s="115">
        <v>95415</v>
      </c>
      <c r="ES15" s="115"/>
      <c r="ET15" s="115">
        <v>1092.6400000000001</v>
      </c>
      <c r="EU15" s="118">
        <v>1</v>
      </c>
      <c r="EV15" s="116">
        <v>497</v>
      </c>
      <c r="EW15" s="26">
        <v>123058</v>
      </c>
      <c r="EX15" s="26">
        <v>16148</v>
      </c>
      <c r="EY15" s="26">
        <v>24150</v>
      </c>
      <c r="EZ15" s="118">
        <v>1</v>
      </c>
      <c r="FA15" s="26">
        <v>297</v>
      </c>
      <c r="FB15" s="115">
        <v>3238.35</v>
      </c>
      <c r="FC15" s="115">
        <v>343.84</v>
      </c>
      <c r="FD15" s="115">
        <v>1723.81</v>
      </c>
      <c r="FE15" s="117">
        <v>1</v>
      </c>
      <c r="FF15" s="116">
        <v>63</v>
      </c>
      <c r="FG15" s="26">
        <v>82469</v>
      </c>
      <c r="FH15" s="26">
        <v>6450</v>
      </c>
      <c r="FI15" s="26">
        <v>4789</v>
      </c>
      <c r="FJ15" s="117">
        <v>1</v>
      </c>
    </row>
  </sheetData>
  <mergeCells count="137">
    <mergeCell ref="FJ4:FJ5"/>
    <mergeCell ref="EZ4:EZ5"/>
    <mergeCell ref="FA4:FA5"/>
    <mergeCell ref="FB4:FD4"/>
    <mergeCell ref="FE4:FE5"/>
    <mergeCell ref="FF4:FF5"/>
    <mergeCell ref="FG4:FI4"/>
    <mergeCell ref="EP4:EP5"/>
    <mergeCell ref="EQ4:EQ5"/>
    <mergeCell ref="ER4:ET4"/>
    <mergeCell ref="EU4:EU5"/>
    <mergeCell ref="EV4:EV5"/>
    <mergeCell ref="EW4:EY4"/>
    <mergeCell ref="EF4:EF5"/>
    <mergeCell ref="EG4:EG5"/>
    <mergeCell ref="EH4:EJ4"/>
    <mergeCell ref="EK4:EK5"/>
    <mergeCell ref="EL4:EL5"/>
    <mergeCell ref="EM4:EO4"/>
    <mergeCell ref="DW4:DW5"/>
    <mergeCell ref="DX4:DZ4"/>
    <mergeCell ref="EA4:EA5"/>
    <mergeCell ref="EB4:EB5"/>
    <mergeCell ref="EC4:EE4"/>
    <mergeCell ref="DQ4:DQ5"/>
    <mergeCell ref="DR4:DR5"/>
    <mergeCell ref="DS4:DU4"/>
    <mergeCell ref="DV4:DV5"/>
    <mergeCell ref="DG4:DG5"/>
    <mergeCell ref="DH4:DH5"/>
    <mergeCell ref="DI4:DK4"/>
    <mergeCell ref="DL4:DL5"/>
    <mergeCell ref="DM4:DM5"/>
    <mergeCell ref="DN4:DP4"/>
    <mergeCell ref="CW4:CW5"/>
    <mergeCell ref="CX4:CX5"/>
    <mergeCell ref="CY4:DA4"/>
    <mergeCell ref="DB4:DB5"/>
    <mergeCell ref="DC4:DC5"/>
    <mergeCell ref="DD4:DF4"/>
    <mergeCell ref="CM4:CM5"/>
    <mergeCell ref="CN4:CN5"/>
    <mergeCell ref="CO4:CQ4"/>
    <mergeCell ref="CR4:CR5"/>
    <mergeCell ref="CS4:CS5"/>
    <mergeCell ref="CT4:CV4"/>
    <mergeCell ref="CC4:CC5"/>
    <mergeCell ref="CD4:CD5"/>
    <mergeCell ref="CE4:CG4"/>
    <mergeCell ref="CH4:CH5"/>
    <mergeCell ref="CI4:CI5"/>
    <mergeCell ref="CJ4:CL4"/>
    <mergeCell ref="BS4:BS5"/>
    <mergeCell ref="BT4:BT5"/>
    <mergeCell ref="BU4:BW4"/>
    <mergeCell ref="BX4:BX5"/>
    <mergeCell ref="BY4:BY5"/>
    <mergeCell ref="BZ4:CB4"/>
    <mergeCell ref="BI4:BI5"/>
    <mergeCell ref="BJ4:BJ5"/>
    <mergeCell ref="BK4:BM4"/>
    <mergeCell ref="BN4:BN5"/>
    <mergeCell ref="BO4:BO5"/>
    <mergeCell ref="BP4:BR4"/>
    <mergeCell ref="AY4:AY5"/>
    <mergeCell ref="AZ4:AZ5"/>
    <mergeCell ref="BA4:BC4"/>
    <mergeCell ref="BD4:BD5"/>
    <mergeCell ref="BE4:BE5"/>
    <mergeCell ref="BF4:BH4"/>
    <mergeCell ref="AO4:AO5"/>
    <mergeCell ref="AP4:AP5"/>
    <mergeCell ref="AQ4:AS4"/>
    <mergeCell ref="AT4:AT5"/>
    <mergeCell ref="AU4:AU5"/>
    <mergeCell ref="AV4:AX4"/>
    <mergeCell ref="AE4:AE5"/>
    <mergeCell ref="AF4:AF5"/>
    <mergeCell ref="AG4:AI4"/>
    <mergeCell ref="AJ4:AJ5"/>
    <mergeCell ref="AK4:AK5"/>
    <mergeCell ref="AL4:AN4"/>
    <mergeCell ref="EQ3:EU3"/>
    <mergeCell ref="EV3:EZ3"/>
    <mergeCell ref="FA3:FE3"/>
    <mergeCell ref="FF3:FJ3"/>
    <mergeCell ref="A4:A5"/>
    <mergeCell ref="B4:B5"/>
    <mergeCell ref="C4:E4"/>
    <mergeCell ref="F4:F5"/>
    <mergeCell ref="G4:G5"/>
    <mergeCell ref="H4:J4"/>
    <mergeCell ref="DR3:DV3"/>
    <mergeCell ref="DW3:EA3"/>
    <mergeCell ref="EB3:EF3"/>
    <mergeCell ref="EG3:EK3"/>
    <mergeCell ref="EL3:EP3"/>
    <mergeCell ref="CN3:CR3"/>
    <mergeCell ref="CS3:CW3"/>
    <mergeCell ref="CX3:DB3"/>
    <mergeCell ref="DC3:DG3"/>
    <mergeCell ref="DH3:DL3"/>
    <mergeCell ref="DM3:DQ3"/>
    <mergeCell ref="BJ3:BN3"/>
    <mergeCell ref="BO3:BS3"/>
    <mergeCell ref="U4:U5"/>
    <mergeCell ref="BT3:BX3"/>
    <mergeCell ref="BY3:CC3"/>
    <mergeCell ref="CD3:CH3"/>
    <mergeCell ref="CI3:CM3"/>
    <mergeCell ref="AF3:AJ3"/>
    <mergeCell ref="AK3:AO3"/>
    <mergeCell ref="AP3:AT3"/>
    <mergeCell ref="AU3:AY3"/>
    <mergeCell ref="AZ3:BD3"/>
    <mergeCell ref="BE3:BI3"/>
    <mergeCell ref="AG11:AG12"/>
    <mergeCell ref="AH11:AH12"/>
    <mergeCell ref="AI11:AI12"/>
    <mergeCell ref="AJ11:AJ12"/>
    <mergeCell ref="B3:F3"/>
    <mergeCell ref="G3:K3"/>
    <mergeCell ref="L3:P3"/>
    <mergeCell ref="Q3:U3"/>
    <mergeCell ref="V3:Z3"/>
    <mergeCell ref="AA3:AE3"/>
    <mergeCell ref="V4:V5"/>
    <mergeCell ref="W4:Y4"/>
    <mergeCell ref="Z4:Z5"/>
    <mergeCell ref="AA4:AA5"/>
    <mergeCell ref="AB4:AD4"/>
    <mergeCell ref="K4:K5"/>
    <mergeCell ref="L4:L5"/>
    <mergeCell ref="M4:O4"/>
    <mergeCell ref="P4:P5"/>
    <mergeCell ref="Q4:Q5"/>
    <mergeCell ref="R4:T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5" x14ac:dyDescent="0.25"/>
  <cols>
    <col min="1" max="1" width="38.5703125" style="4" customWidth="1"/>
    <col min="2" max="100" width="16" style="4" customWidth="1"/>
    <col min="101" max="16384" width="9.140625" style="4"/>
  </cols>
  <sheetData>
    <row r="1" spans="1:100" ht="18.75" x14ac:dyDescent="0.3">
      <c r="A1" s="38" t="s">
        <v>260</v>
      </c>
    </row>
    <row r="2" spans="1:100" x14ac:dyDescent="0.25">
      <c r="A2" s="4" t="s">
        <v>261</v>
      </c>
      <c r="E2" s="53"/>
    </row>
    <row r="3" spans="1:100" x14ac:dyDescent="0.25">
      <c r="A3" s="21" t="s">
        <v>0</v>
      </c>
      <c r="B3" s="160" t="s">
        <v>1</v>
      </c>
      <c r="C3" s="160"/>
      <c r="D3" s="160"/>
      <c r="E3" s="160" t="s">
        <v>2</v>
      </c>
      <c r="F3" s="160"/>
      <c r="G3" s="160"/>
      <c r="H3" s="160" t="s">
        <v>3</v>
      </c>
      <c r="I3" s="160"/>
      <c r="J3" s="160"/>
      <c r="K3" s="160" t="s">
        <v>4</v>
      </c>
      <c r="L3" s="160"/>
      <c r="M3" s="160"/>
      <c r="N3" s="176" t="s">
        <v>5</v>
      </c>
      <c r="O3" s="176"/>
      <c r="P3" s="176"/>
      <c r="Q3" s="160" t="s">
        <v>6</v>
      </c>
      <c r="R3" s="160"/>
      <c r="S3" s="160"/>
      <c r="T3" s="160" t="s">
        <v>7</v>
      </c>
      <c r="U3" s="160"/>
      <c r="V3" s="160"/>
      <c r="W3" s="160" t="s">
        <v>8</v>
      </c>
      <c r="X3" s="160"/>
      <c r="Y3" s="160"/>
      <c r="Z3" s="160" t="s">
        <v>9</v>
      </c>
      <c r="AA3" s="160"/>
      <c r="AB3" s="160"/>
      <c r="AC3" s="160" t="s">
        <v>10</v>
      </c>
      <c r="AD3" s="160"/>
      <c r="AE3" s="160"/>
      <c r="AF3" s="160" t="s">
        <v>11</v>
      </c>
      <c r="AG3" s="160"/>
      <c r="AH3" s="160"/>
      <c r="AI3" s="160" t="s">
        <v>12</v>
      </c>
      <c r="AJ3" s="160"/>
      <c r="AK3" s="160"/>
      <c r="AL3" s="160" t="s">
        <v>13</v>
      </c>
      <c r="AM3" s="160"/>
      <c r="AN3" s="160"/>
      <c r="AO3" s="160" t="s">
        <v>14</v>
      </c>
      <c r="AP3" s="160"/>
      <c r="AQ3" s="160"/>
      <c r="AR3" s="160" t="s">
        <v>15</v>
      </c>
      <c r="AS3" s="160"/>
      <c r="AT3" s="160"/>
      <c r="AU3" s="160" t="s">
        <v>16</v>
      </c>
      <c r="AV3" s="160"/>
      <c r="AW3" s="160"/>
      <c r="AX3" s="160" t="s">
        <v>17</v>
      </c>
      <c r="AY3" s="160"/>
      <c r="AZ3" s="160"/>
      <c r="BA3" s="160" t="s">
        <v>18</v>
      </c>
      <c r="BB3" s="160"/>
      <c r="BC3" s="160"/>
      <c r="BD3" s="160" t="s">
        <v>19</v>
      </c>
      <c r="BE3" s="160"/>
      <c r="BF3" s="160"/>
      <c r="BG3" s="160" t="s">
        <v>20</v>
      </c>
      <c r="BH3" s="160"/>
      <c r="BI3" s="160"/>
      <c r="BJ3" s="160" t="s">
        <v>21</v>
      </c>
      <c r="BK3" s="160"/>
      <c r="BL3" s="160"/>
      <c r="BM3" s="160" t="s">
        <v>109</v>
      </c>
      <c r="BN3" s="160"/>
      <c r="BO3" s="160"/>
      <c r="BP3" s="160" t="s">
        <v>110</v>
      </c>
      <c r="BQ3" s="160"/>
      <c r="BR3" s="160"/>
      <c r="BS3" s="160" t="s">
        <v>22</v>
      </c>
      <c r="BT3" s="160"/>
      <c r="BU3" s="160"/>
      <c r="BV3" s="160" t="s">
        <v>23</v>
      </c>
      <c r="BW3" s="160"/>
      <c r="BX3" s="160"/>
      <c r="BY3" s="160" t="s">
        <v>24</v>
      </c>
      <c r="BZ3" s="160"/>
      <c r="CA3" s="160"/>
      <c r="CB3" s="160" t="s">
        <v>25</v>
      </c>
      <c r="CC3" s="160"/>
      <c r="CD3" s="160"/>
      <c r="CE3" s="160" t="s">
        <v>26</v>
      </c>
      <c r="CF3" s="160"/>
      <c r="CG3" s="160"/>
      <c r="CH3" s="160" t="s">
        <v>27</v>
      </c>
      <c r="CI3" s="160"/>
      <c r="CJ3" s="160"/>
      <c r="CK3" s="160" t="s">
        <v>28</v>
      </c>
      <c r="CL3" s="160"/>
      <c r="CM3" s="160"/>
      <c r="CN3" s="160" t="s">
        <v>29</v>
      </c>
      <c r="CO3" s="160"/>
      <c r="CP3" s="160"/>
      <c r="CQ3" s="160" t="s">
        <v>30</v>
      </c>
      <c r="CR3" s="160"/>
      <c r="CS3" s="160"/>
      <c r="CT3" s="160" t="s">
        <v>31</v>
      </c>
      <c r="CU3" s="160"/>
      <c r="CV3" s="160"/>
    </row>
    <row r="4" spans="1:100" x14ac:dyDescent="0.25">
      <c r="A4" s="97"/>
      <c r="B4" s="97" t="s">
        <v>262</v>
      </c>
      <c r="C4" s="97" t="s">
        <v>263</v>
      </c>
      <c r="D4" s="97" t="s">
        <v>231</v>
      </c>
      <c r="E4" s="97" t="s">
        <v>262</v>
      </c>
      <c r="F4" s="97" t="s">
        <v>263</v>
      </c>
      <c r="G4" s="97" t="s">
        <v>231</v>
      </c>
      <c r="H4" s="97" t="s">
        <v>262</v>
      </c>
      <c r="I4" s="97" t="s">
        <v>263</v>
      </c>
      <c r="J4" s="97" t="s">
        <v>231</v>
      </c>
      <c r="K4" s="97" t="s">
        <v>262</v>
      </c>
      <c r="L4" s="97" t="s">
        <v>263</v>
      </c>
      <c r="M4" s="97" t="s">
        <v>231</v>
      </c>
      <c r="N4" s="97" t="s">
        <v>262</v>
      </c>
      <c r="O4" s="97" t="s">
        <v>263</v>
      </c>
      <c r="P4" s="97" t="s">
        <v>231</v>
      </c>
      <c r="Q4" s="97" t="s">
        <v>262</v>
      </c>
      <c r="R4" s="97" t="s">
        <v>263</v>
      </c>
      <c r="S4" s="97" t="s">
        <v>231</v>
      </c>
      <c r="T4" s="97" t="s">
        <v>262</v>
      </c>
      <c r="U4" s="97" t="s">
        <v>263</v>
      </c>
      <c r="V4" s="97" t="s">
        <v>231</v>
      </c>
      <c r="W4" s="97" t="s">
        <v>262</v>
      </c>
      <c r="X4" s="97" t="s">
        <v>263</v>
      </c>
      <c r="Y4" s="97" t="s">
        <v>231</v>
      </c>
      <c r="Z4" s="97" t="s">
        <v>262</v>
      </c>
      <c r="AA4" s="97" t="s">
        <v>263</v>
      </c>
      <c r="AB4" s="97" t="s">
        <v>231</v>
      </c>
      <c r="AC4" s="97" t="s">
        <v>262</v>
      </c>
      <c r="AD4" s="97" t="s">
        <v>263</v>
      </c>
      <c r="AE4" s="97" t="s">
        <v>231</v>
      </c>
      <c r="AF4" s="97" t="s">
        <v>262</v>
      </c>
      <c r="AG4" s="97" t="s">
        <v>263</v>
      </c>
      <c r="AH4" s="97" t="s">
        <v>231</v>
      </c>
      <c r="AI4" s="97" t="s">
        <v>262</v>
      </c>
      <c r="AJ4" s="97" t="s">
        <v>263</v>
      </c>
      <c r="AK4" s="97" t="s">
        <v>231</v>
      </c>
      <c r="AL4" s="97" t="s">
        <v>262</v>
      </c>
      <c r="AM4" s="97" t="s">
        <v>263</v>
      </c>
      <c r="AN4" s="97" t="s">
        <v>231</v>
      </c>
      <c r="AO4" s="97" t="s">
        <v>262</v>
      </c>
      <c r="AP4" s="97" t="s">
        <v>263</v>
      </c>
      <c r="AQ4" s="97" t="s">
        <v>231</v>
      </c>
      <c r="AR4" s="97" t="s">
        <v>262</v>
      </c>
      <c r="AS4" s="97" t="s">
        <v>263</v>
      </c>
      <c r="AT4" s="97" t="s">
        <v>231</v>
      </c>
      <c r="AU4" s="97" t="s">
        <v>262</v>
      </c>
      <c r="AV4" s="97" t="s">
        <v>263</v>
      </c>
      <c r="AW4" s="97" t="s">
        <v>231</v>
      </c>
      <c r="AX4" s="97" t="s">
        <v>262</v>
      </c>
      <c r="AY4" s="97" t="s">
        <v>263</v>
      </c>
      <c r="AZ4" s="97" t="s">
        <v>231</v>
      </c>
      <c r="BA4" s="97" t="s">
        <v>262</v>
      </c>
      <c r="BB4" s="97" t="s">
        <v>263</v>
      </c>
      <c r="BC4" s="97" t="s">
        <v>231</v>
      </c>
      <c r="BD4" s="97" t="s">
        <v>262</v>
      </c>
      <c r="BE4" s="97" t="s">
        <v>263</v>
      </c>
      <c r="BF4" s="97" t="s">
        <v>231</v>
      </c>
      <c r="BG4" s="97" t="s">
        <v>262</v>
      </c>
      <c r="BH4" s="97" t="s">
        <v>263</v>
      </c>
      <c r="BI4" s="97" t="s">
        <v>231</v>
      </c>
      <c r="BJ4" s="97" t="s">
        <v>262</v>
      </c>
      <c r="BK4" s="97" t="s">
        <v>263</v>
      </c>
      <c r="BL4" s="97" t="s">
        <v>231</v>
      </c>
      <c r="BM4" s="97" t="s">
        <v>262</v>
      </c>
      <c r="BN4" s="97" t="s">
        <v>263</v>
      </c>
      <c r="BO4" s="97" t="s">
        <v>231</v>
      </c>
      <c r="BP4" s="97" t="s">
        <v>262</v>
      </c>
      <c r="BQ4" s="97" t="s">
        <v>263</v>
      </c>
      <c r="BR4" s="97" t="s">
        <v>231</v>
      </c>
      <c r="BS4" s="97" t="s">
        <v>262</v>
      </c>
      <c r="BT4" s="97" t="s">
        <v>263</v>
      </c>
      <c r="BU4" s="97" t="s">
        <v>231</v>
      </c>
      <c r="BV4" s="97" t="s">
        <v>262</v>
      </c>
      <c r="BW4" s="97" t="s">
        <v>263</v>
      </c>
      <c r="BX4" s="97" t="s">
        <v>231</v>
      </c>
      <c r="BY4" s="97" t="s">
        <v>262</v>
      </c>
      <c r="BZ4" s="97" t="s">
        <v>263</v>
      </c>
      <c r="CA4" s="97" t="s">
        <v>231</v>
      </c>
      <c r="CB4" s="97" t="s">
        <v>262</v>
      </c>
      <c r="CC4" s="97" t="s">
        <v>263</v>
      </c>
      <c r="CD4" s="97" t="s">
        <v>231</v>
      </c>
      <c r="CE4" s="97" t="s">
        <v>262</v>
      </c>
      <c r="CF4" s="97" t="s">
        <v>263</v>
      </c>
      <c r="CG4" s="97" t="s">
        <v>231</v>
      </c>
      <c r="CH4" s="97" t="s">
        <v>262</v>
      </c>
      <c r="CI4" s="97" t="s">
        <v>263</v>
      </c>
      <c r="CJ4" s="97" t="s">
        <v>231</v>
      </c>
      <c r="CK4" s="97" t="s">
        <v>262</v>
      </c>
      <c r="CL4" s="97" t="s">
        <v>263</v>
      </c>
      <c r="CM4" s="97" t="s">
        <v>231</v>
      </c>
      <c r="CN4" s="97" t="s">
        <v>262</v>
      </c>
      <c r="CO4" s="97" t="s">
        <v>263</v>
      </c>
      <c r="CP4" s="97" t="s">
        <v>231</v>
      </c>
      <c r="CQ4" s="97" t="s">
        <v>262</v>
      </c>
      <c r="CR4" s="97" t="s">
        <v>263</v>
      </c>
      <c r="CS4" s="97" t="s">
        <v>231</v>
      </c>
      <c r="CT4" s="97" t="s">
        <v>262</v>
      </c>
      <c r="CU4" s="97" t="s">
        <v>263</v>
      </c>
      <c r="CV4" s="97" t="s">
        <v>231</v>
      </c>
    </row>
    <row r="5" spans="1:100" x14ac:dyDescent="0.25">
      <c r="A5" s="18" t="s">
        <v>264</v>
      </c>
      <c r="B5" s="18"/>
      <c r="C5" s="18"/>
      <c r="D5" s="18"/>
      <c r="E5" s="18"/>
      <c r="F5" s="18">
        <f>G5-E5</f>
        <v>1075</v>
      </c>
      <c r="G5" s="18">
        <v>1075</v>
      </c>
      <c r="H5" s="18"/>
      <c r="I5" s="18">
        <f>J5-H5</f>
        <v>3820536</v>
      </c>
      <c r="J5" s="18">
        <v>3820536</v>
      </c>
      <c r="K5" s="18"/>
      <c r="L5" s="18">
        <f>M5-K5</f>
        <v>13426</v>
      </c>
      <c r="M5" s="18">
        <v>13426</v>
      </c>
      <c r="N5" s="18">
        <v>49900</v>
      </c>
      <c r="O5" s="18">
        <f>P5-N5</f>
        <v>91631</v>
      </c>
      <c r="P5" s="18">
        <v>141531</v>
      </c>
      <c r="Q5" s="18">
        <v>14889</v>
      </c>
      <c r="R5" s="18">
        <f>S5-Q5</f>
        <v>19310</v>
      </c>
      <c r="S5" s="18">
        <v>34199</v>
      </c>
      <c r="T5" s="18">
        <v>27032</v>
      </c>
      <c r="U5" s="18">
        <f>V5-T5</f>
        <v>29112</v>
      </c>
      <c r="V5" s="18">
        <v>56144</v>
      </c>
      <c r="W5" s="18"/>
      <c r="X5" s="18">
        <f>Y5-W5</f>
        <v>1304</v>
      </c>
      <c r="Y5" s="18">
        <v>1304</v>
      </c>
      <c r="Z5" s="18"/>
      <c r="AA5" s="18"/>
      <c r="AB5" s="18"/>
      <c r="AC5" s="18"/>
      <c r="AD5" s="18"/>
      <c r="AE5" s="18"/>
      <c r="AF5" s="18"/>
      <c r="AG5" s="18"/>
      <c r="AH5" s="18">
        <v>814</v>
      </c>
      <c r="AI5" s="18">
        <v>8161</v>
      </c>
      <c r="AJ5" s="18">
        <f>AK5-AI5</f>
        <v>36107</v>
      </c>
      <c r="AK5" s="18">
        <v>44268</v>
      </c>
      <c r="AL5" s="18"/>
      <c r="AM5" s="18"/>
      <c r="AN5" s="18"/>
      <c r="AO5" s="18">
        <v>26873</v>
      </c>
      <c r="AP5" s="18">
        <f>AQ5-AO5</f>
        <v>32573</v>
      </c>
      <c r="AQ5" s="18">
        <v>59446</v>
      </c>
      <c r="AR5" s="18">
        <v>58302</v>
      </c>
      <c r="AS5" s="18">
        <f>AT5-AR5</f>
        <v>119392</v>
      </c>
      <c r="AT5" s="18">
        <v>177694</v>
      </c>
      <c r="AU5" s="18">
        <v>37487</v>
      </c>
      <c r="AV5" s="18">
        <f>AW5-AU5</f>
        <v>109700</v>
      </c>
      <c r="AW5" s="18">
        <v>147187</v>
      </c>
      <c r="AX5" s="18">
        <v>100</v>
      </c>
      <c r="AY5" s="18">
        <f>AZ5-AX5</f>
        <v>1000</v>
      </c>
      <c r="AZ5" s="18">
        <v>1100</v>
      </c>
      <c r="BA5" s="18">
        <v>1947</v>
      </c>
      <c r="BB5" s="18">
        <f>BC5-BA5</f>
        <v>5729</v>
      </c>
      <c r="BC5" s="18">
        <v>7676</v>
      </c>
      <c r="BD5" s="18">
        <v>4757</v>
      </c>
      <c r="BE5" s="18">
        <f>BF5-BD5</f>
        <v>1791</v>
      </c>
      <c r="BF5" s="18">
        <v>6548</v>
      </c>
      <c r="BG5" s="18"/>
      <c r="BH5" s="18">
        <f>BI5-BG5</f>
        <v>5029</v>
      </c>
      <c r="BI5" s="18">
        <v>5029</v>
      </c>
      <c r="BJ5" s="18">
        <v>140664</v>
      </c>
      <c r="BK5" s="18">
        <f>BL5-BJ5</f>
        <v>511518</v>
      </c>
      <c r="BL5" s="132">
        <v>652182</v>
      </c>
      <c r="BM5" s="18">
        <v>160330</v>
      </c>
      <c r="BN5" s="18">
        <f>BO5-BM5</f>
        <v>215497</v>
      </c>
      <c r="BO5" s="18">
        <v>375827</v>
      </c>
      <c r="BP5" s="18">
        <v>126959</v>
      </c>
      <c r="BQ5" s="18">
        <f>BR5-BP5</f>
        <v>186870</v>
      </c>
      <c r="BR5" s="18">
        <v>313829</v>
      </c>
      <c r="BS5" s="18">
        <v>32</v>
      </c>
      <c r="BT5" s="18">
        <f>BU5-BS5</f>
        <v>166</v>
      </c>
      <c r="BU5" s="18">
        <v>198</v>
      </c>
      <c r="BV5" s="18">
        <v>65448</v>
      </c>
      <c r="BW5" s="18">
        <f>BX5-BV5</f>
        <v>118578</v>
      </c>
      <c r="BX5" s="18">
        <v>184026</v>
      </c>
      <c r="BY5" s="18"/>
      <c r="BZ5" s="18">
        <f>CA5-BY5</f>
        <v>5922</v>
      </c>
      <c r="CA5" s="18">
        <v>5922</v>
      </c>
      <c r="CB5" s="18">
        <v>21573</v>
      </c>
      <c r="CC5" s="18">
        <f>CD5-CB5</f>
        <v>19149</v>
      </c>
      <c r="CD5" s="18">
        <v>40722</v>
      </c>
      <c r="CE5" s="18">
        <v>7547</v>
      </c>
      <c r="CF5" s="18">
        <f>CG5-CE5</f>
        <v>20070</v>
      </c>
      <c r="CG5" s="35">
        <v>27617</v>
      </c>
      <c r="CH5" s="18">
        <v>49231</v>
      </c>
      <c r="CI5" s="18">
        <f>CJ5-CH5</f>
        <v>11281</v>
      </c>
      <c r="CJ5" s="18">
        <v>60512</v>
      </c>
      <c r="CK5" s="18"/>
      <c r="CL5" s="18">
        <f>CM5-CK5</f>
        <v>45347</v>
      </c>
      <c r="CM5" s="18">
        <v>45347</v>
      </c>
      <c r="CN5" s="18">
        <v>15470</v>
      </c>
      <c r="CO5" s="18">
        <f>CP5-CN5</f>
        <v>53253</v>
      </c>
      <c r="CP5" s="18">
        <v>68723</v>
      </c>
      <c r="CQ5" s="18">
        <v>180664</v>
      </c>
      <c r="CR5" s="18">
        <f>CS5-CQ5</f>
        <v>1663329</v>
      </c>
      <c r="CS5" s="18">
        <v>1843993</v>
      </c>
      <c r="CT5" s="18">
        <v>4944</v>
      </c>
      <c r="CU5" s="18">
        <f>CV5-CT5</f>
        <v>4524</v>
      </c>
      <c r="CV5" s="18">
        <v>9468</v>
      </c>
    </row>
    <row r="6" spans="1:100" x14ac:dyDescent="0.25">
      <c r="A6" s="18" t="s">
        <v>265</v>
      </c>
      <c r="B6" s="18"/>
      <c r="C6" s="18">
        <v>1</v>
      </c>
      <c r="D6" s="18">
        <v>1</v>
      </c>
      <c r="E6" s="18"/>
      <c r="F6" s="18">
        <f t="shared" ref="F6:F12" si="0">G6-E6</f>
        <v>44640</v>
      </c>
      <c r="G6" s="18">
        <v>44640</v>
      </c>
      <c r="H6" s="18"/>
      <c r="I6" s="18">
        <f t="shared" ref="I6:I14" si="1">J6-H6</f>
        <v>4700007</v>
      </c>
      <c r="J6" s="18">
        <v>4700007</v>
      </c>
      <c r="K6" s="18"/>
      <c r="L6" s="18">
        <f t="shared" ref="L6:L11" si="2">M6-K6</f>
        <v>265056</v>
      </c>
      <c r="M6" s="18">
        <v>265056</v>
      </c>
      <c r="N6" s="18">
        <v>3473</v>
      </c>
      <c r="O6" s="18">
        <f t="shared" ref="O6:O14" si="3">P6-N6</f>
        <v>345017</v>
      </c>
      <c r="P6" s="18">
        <v>348490</v>
      </c>
      <c r="Q6" s="18">
        <v>1494</v>
      </c>
      <c r="R6" s="18">
        <f t="shared" ref="R6:R14" si="4">S6-Q6</f>
        <v>51578</v>
      </c>
      <c r="S6" s="18">
        <v>53072</v>
      </c>
      <c r="T6" s="18">
        <v>4799</v>
      </c>
      <c r="U6" s="18">
        <f t="shared" ref="U6:U14" si="5">V6-T6</f>
        <v>44702</v>
      </c>
      <c r="V6" s="18">
        <v>49501</v>
      </c>
      <c r="W6" s="18"/>
      <c r="X6" s="18">
        <f t="shared" ref="X6:X13" si="6">Y6-W6</f>
        <v>19099</v>
      </c>
      <c r="Y6" s="18">
        <v>19099</v>
      </c>
      <c r="Z6" s="18"/>
      <c r="AA6" s="18"/>
      <c r="AB6" s="18">
        <v>16</v>
      </c>
      <c r="AC6" s="18"/>
      <c r="AD6" s="18"/>
      <c r="AE6" s="18"/>
      <c r="AF6" s="18"/>
      <c r="AG6" s="18"/>
      <c r="AH6" s="18">
        <v>528</v>
      </c>
      <c r="AI6" s="18">
        <v>952</v>
      </c>
      <c r="AJ6" s="18">
        <f t="shared" ref="AJ6:AJ14" si="7">AK6-AI6</f>
        <v>62535</v>
      </c>
      <c r="AK6" s="18">
        <v>63487</v>
      </c>
      <c r="AL6" s="18">
        <v>6</v>
      </c>
      <c r="AM6" s="18">
        <f>AN6-AL6</f>
        <v>1443</v>
      </c>
      <c r="AN6" s="18">
        <v>1449</v>
      </c>
      <c r="AO6" s="18">
        <v>3044</v>
      </c>
      <c r="AP6" s="18">
        <f t="shared" ref="AP6:AP14" si="8">AQ6-AO6</f>
        <v>141004</v>
      </c>
      <c r="AQ6" s="18">
        <v>144048</v>
      </c>
      <c r="AR6" s="18">
        <v>5203</v>
      </c>
      <c r="AS6" s="18">
        <f t="shared" ref="AS6:AS14" si="9">AT6-AR6</f>
        <v>361224</v>
      </c>
      <c r="AT6" s="18">
        <v>366427</v>
      </c>
      <c r="AU6" s="18">
        <v>19455</v>
      </c>
      <c r="AV6" s="18">
        <f t="shared" ref="AV6:AV14" si="10">AW6-AU6</f>
        <v>750054</v>
      </c>
      <c r="AW6" s="18">
        <v>769509</v>
      </c>
      <c r="AX6" s="18">
        <v>39</v>
      </c>
      <c r="AY6" s="18">
        <f t="shared" ref="AY6:AY14" si="11">AZ6-AX6</f>
        <v>4512</v>
      </c>
      <c r="AZ6" s="18">
        <v>4551</v>
      </c>
      <c r="BA6" s="18">
        <v>474</v>
      </c>
      <c r="BB6" s="18">
        <f t="shared" ref="BB6:BB14" si="12">BC6-BA6</f>
        <v>28666</v>
      </c>
      <c r="BC6" s="18">
        <v>29140</v>
      </c>
      <c r="BD6" s="18">
        <v>731</v>
      </c>
      <c r="BE6" s="18">
        <f t="shared" ref="BE6:BE14" si="13">BF6-BD6</f>
        <v>6778</v>
      </c>
      <c r="BF6" s="18">
        <v>7509</v>
      </c>
      <c r="BG6" s="18"/>
      <c r="BH6" s="18">
        <f t="shared" ref="BH6:BH13" si="14">BI6-BG6</f>
        <v>22444</v>
      </c>
      <c r="BI6" s="18">
        <v>22444</v>
      </c>
      <c r="BJ6" s="18">
        <v>14328</v>
      </c>
      <c r="BK6" s="18">
        <f t="shared" ref="BK6:BK8" si="15">BL6-BJ6</f>
        <v>834454</v>
      </c>
      <c r="BL6" s="132">
        <v>848782</v>
      </c>
      <c r="BM6" s="18">
        <v>23564</v>
      </c>
      <c r="BN6" s="18">
        <f t="shared" ref="BN6:BN8" si="16">BO6-BM6</f>
        <v>1267776</v>
      </c>
      <c r="BO6" s="18">
        <v>1291340</v>
      </c>
      <c r="BP6" s="18">
        <v>20795</v>
      </c>
      <c r="BQ6" s="18">
        <f t="shared" ref="BQ6:BQ8" si="17">BR6-BP6</f>
        <v>337525</v>
      </c>
      <c r="BR6" s="18">
        <v>358320</v>
      </c>
      <c r="BS6" s="18"/>
      <c r="BT6" s="18"/>
      <c r="BU6" s="18"/>
      <c r="BV6" s="18">
        <v>4650</v>
      </c>
      <c r="BW6" s="18">
        <f t="shared" ref="BW6:BW14" si="18">BX6-BV6</f>
        <v>583275</v>
      </c>
      <c r="BX6" s="18">
        <v>587925</v>
      </c>
      <c r="BY6" s="18"/>
      <c r="BZ6" s="18">
        <f t="shared" ref="BZ6:BZ13" si="19">CA6-BY6</f>
        <v>74757</v>
      </c>
      <c r="CA6" s="18">
        <v>74757</v>
      </c>
      <c r="CB6" s="18">
        <v>2692</v>
      </c>
      <c r="CC6" s="18">
        <f t="shared" ref="CC6:CC14" si="20">CD6-CB6</f>
        <v>87397</v>
      </c>
      <c r="CD6" s="18">
        <v>90089</v>
      </c>
      <c r="CE6" s="18">
        <v>804</v>
      </c>
      <c r="CF6" s="18">
        <f t="shared" ref="CF6:CF15" si="21">CG6-CE6</f>
        <v>46953</v>
      </c>
      <c r="CG6" s="35">
        <v>47757</v>
      </c>
      <c r="CH6" s="18">
        <v>5516</v>
      </c>
      <c r="CI6" s="18">
        <f t="shared" ref="CI6:CI14" si="22">CJ6-CH6</f>
        <v>202452</v>
      </c>
      <c r="CJ6" s="18">
        <v>207968</v>
      </c>
      <c r="CK6" s="18"/>
      <c r="CL6" s="18">
        <f t="shared" ref="CL6:CL14" si="23">CM6-CK6</f>
        <v>159303</v>
      </c>
      <c r="CM6" s="18">
        <v>159303</v>
      </c>
      <c r="CN6" s="18">
        <v>2082</v>
      </c>
      <c r="CO6" s="18">
        <f t="shared" ref="CO6:CO14" si="24">CP6-CN6</f>
        <v>210819</v>
      </c>
      <c r="CP6" s="18">
        <v>212901</v>
      </c>
      <c r="CQ6" s="18">
        <v>27300</v>
      </c>
      <c r="CR6" s="18">
        <f t="shared" ref="CR6:CR14" si="25">CS6-CQ6</f>
        <v>2180077</v>
      </c>
      <c r="CS6" s="18">
        <v>2207377</v>
      </c>
      <c r="CT6" s="18">
        <v>2990</v>
      </c>
      <c r="CU6" s="18">
        <f>CV6-CT6</f>
        <v>117816</v>
      </c>
      <c r="CV6" s="18">
        <v>120806</v>
      </c>
    </row>
    <row r="7" spans="1:100" x14ac:dyDescent="0.25">
      <c r="A7" s="18" t="s">
        <v>266</v>
      </c>
      <c r="B7" s="18"/>
      <c r="C7" s="18"/>
      <c r="D7" s="18"/>
      <c r="E7" s="18"/>
      <c r="F7" s="18">
        <f t="shared" si="0"/>
        <v>38929</v>
      </c>
      <c r="G7" s="18">
        <v>38929</v>
      </c>
      <c r="H7" s="18"/>
      <c r="I7" s="18">
        <f t="shared" si="1"/>
        <v>146549</v>
      </c>
      <c r="J7" s="18">
        <v>146549</v>
      </c>
      <c r="K7" s="18"/>
      <c r="L7" s="18">
        <f t="shared" si="2"/>
        <v>227288</v>
      </c>
      <c r="M7" s="18">
        <v>227288</v>
      </c>
      <c r="N7" s="18">
        <v>3226</v>
      </c>
      <c r="O7" s="18">
        <f t="shared" si="3"/>
        <v>351767</v>
      </c>
      <c r="P7" s="18">
        <v>354993</v>
      </c>
      <c r="Q7" s="18">
        <v>1577</v>
      </c>
      <c r="R7" s="18">
        <f t="shared" si="4"/>
        <v>51787</v>
      </c>
      <c r="S7" s="18">
        <v>53364</v>
      </c>
      <c r="T7" s="18">
        <v>4384</v>
      </c>
      <c r="U7" s="18">
        <f t="shared" si="5"/>
        <v>41939</v>
      </c>
      <c r="V7" s="18">
        <v>46323</v>
      </c>
      <c r="W7" s="18"/>
      <c r="X7" s="18">
        <f t="shared" si="6"/>
        <v>16618</v>
      </c>
      <c r="Y7" s="18">
        <v>16618</v>
      </c>
      <c r="Z7" s="18"/>
      <c r="AA7" s="18"/>
      <c r="AB7" s="18">
        <v>8</v>
      </c>
      <c r="AC7" s="18"/>
      <c r="AD7" s="18"/>
      <c r="AE7" s="18"/>
      <c r="AF7" s="18"/>
      <c r="AG7" s="18"/>
      <c r="AH7" s="18">
        <v>291</v>
      </c>
      <c r="AI7" s="18">
        <v>742</v>
      </c>
      <c r="AJ7" s="18">
        <f t="shared" si="7"/>
        <v>51944</v>
      </c>
      <c r="AK7" s="18">
        <v>52686</v>
      </c>
      <c r="AL7" s="18">
        <v>1</v>
      </c>
      <c r="AM7" s="18">
        <f>AN7-AL7</f>
        <v>1138</v>
      </c>
      <c r="AN7" s="18">
        <v>1139</v>
      </c>
      <c r="AO7" s="18">
        <v>2754</v>
      </c>
      <c r="AP7" s="18">
        <f t="shared" si="8"/>
        <v>133897</v>
      </c>
      <c r="AQ7" s="18">
        <v>136651</v>
      </c>
      <c r="AR7" s="18">
        <v>4055</v>
      </c>
      <c r="AS7" s="18">
        <f t="shared" si="9"/>
        <v>327909</v>
      </c>
      <c r="AT7" s="18">
        <v>331964</v>
      </c>
      <c r="AU7" s="18">
        <v>20971</v>
      </c>
      <c r="AV7" s="18">
        <f t="shared" si="10"/>
        <v>810380</v>
      </c>
      <c r="AW7" s="18">
        <v>831351</v>
      </c>
      <c r="AX7" s="18">
        <v>6</v>
      </c>
      <c r="AY7" s="18">
        <f t="shared" si="11"/>
        <v>3784</v>
      </c>
      <c r="AZ7" s="18">
        <v>3790</v>
      </c>
      <c r="BA7" s="18">
        <v>147</v>
      </c>
      <c r="BB7" s="18">
        <f t="shared" si="12"/>
        <v>25537</v>
      </c>
      <c r="BC7" s="18">
        <v>25684</v>
      </c>
      <c r="BD7" s="18">
        <v>752</v>
      </c>
      <c r="BE7" s="18">
        <f t="shared" si="13"/>
        <v>5791</v>
      </c>
      <c r="BF7" s="18">
        <v>6543</v>
      </c>
      <c r="BG7" s="18"/>
      <c r="BH7" s="18">
        <f t="shared" si="14"/>
        <v>21947</v>
      </c>
      <c r="BI7" s="18">
        <v>21947</v>
      </c>
      <c r="BJ7" s="18">
        <v>19511</v>
      </c>
      <c r="BK7" s="18">
        <f t="shared" si="15"/>
        <v>922871</v>
      </c>
      <c r="BL7" s="132">
        <v>942382</v>
      </c>
      <c r="BM7" s="18">
        <v>35747</v>
      </c>
      <c r="BN7" s="18">
        <f t="shared" si="16"/>
        <v>1318945</v>
      </c>
      <c r="BO7" s="18">
        <v>1354692</v>
      </c>
      <c r="BP7" s="18">
        <v>32940</v>
      </c>
      <c r="BQ7" s="18">
        <f t="shared" si="17"/>
        <v>411312</v>
      </c>
      <c r="BR7" s="18">
        <v>444252</v>
      </c>
      <c r="BS7" s="18">
        <v>32</v>
      </c>
      <c r="BT7" s="18">
        <f>BU7-BS7</f>
        <v>63</v>
      </c>
      <c r="BU7" s="18">
        <v>95</v>
      </c>
      <c r="BV7" s="18">
        <v>4029</v>
      </c>
      <c r="BW7" s="18">
        <f t="shared" si="18"/>
        <v>482459</v>
      </c>
      <c r="BX7" s="18">
        <v>486488</v>
      </c>
      <c r="BY7" s="18"/>
      <c r="BZ7" s="18">
        <f t="shared" si="19"/>
        <v>68762</v>
      </c>
      <c r="CA7" s="18">
        <v>68762</v>
      </c>
      <c r="CB7" s="18">
        <v>4394</v>
      </c>
      <c r="CC7" s="18">
        <f t="shared" si="20"/>
        <v>90348</v>
      </c>
      <c r="CD7" s="18">
        <v>94742</v>
      </c>
      <c r="CE7" s="18">
        <v>1019</v>
      </c>
      <c r="CF7" s="18">
        <f t="shared" si="21"/>
        <v>43625</v>
      </c>
      <c r="CG7" s="35">
        <v>44644</v>
      </c>
      <c r="CH7" s="18">
        <v>7296</v>
      </c>
      <c r="CI7" s="18">
        <f t="shared" si="22"/>
        <v>33649</v>
      </c>
      <c r="CJ7" s="18">
        <v>40945</v>
      </c>
      <c r="CK7" s="18"/>
      <c r="CL7" s="18">
        <f t="shared" si="23"/>
        <v>138971</v>
      </c>
      <c r="CM7" s="18">
        <v>138971</v>
      </c>
      <c r="CN7" s="18">
        <v>1715</v>
      </c>
      <c r="CO7" s="18">
        <f t="shared" si="24"/>
        <v>211267</v>
      </c>
      <c r="CP7" s="18">
        <v>212982</v>
      </c>
      <c r="CQ7" s="18">
        <v>22151</v>
      </c>
      <c r="CR7" s="18">
        <f t="shared" si="25"/>
        <v>2107674</v>
      </c>
      <c r="CS7" s="18">
        <v>2129825</v>
      </c>
      <c r="CT7" s="18">
        <v>1805</v>
      </c>
      <c r="CU7" s="18">
        <f>CV7-CT7</f>
        <v>101877</v>
      </c>
      <c r="CV7" s="18">
        <v>103682</v>
      </c>
    </row>
    <row r="8" spans="1:100" x14ac:dyDescent="0.25">
      <c r="A8" s="18" t="s">
        <v>267</v>
      </c>
      <c r="B8" s="18"/>
      <c r="C8" s="18"/>
      <c r="D8" s="18"/>
      <c r="E8" s="18"/>
      <c r="F8" s="18">
        <f t="shared" si="0"/>
        <v>3620</v>
      </c>
      <c r="G8" s="18">
        <v>3620</v>
      </c>
      <c r="H8" s="18"/>
      <c r="I8" s="18"/>
      <c r="J8" s="18"/>
      <c r="K8" s="18"/>
      <c r="L8" s="18">
        <f t="shared" si="2"/>
        <v>29004</v>
      </c>
      <c r="M8" s="18">
        <v>29004</v>
      </c>
      <c r="N8" s="18">
        <v>1008</v>
      </c>
      <c r="O8" s="18">
        <f t="shared" si="3"/>
        <v>11527</v>
      </c>
      <c r="P8" s="18">
        <v>12535</v>
      </c>
      <c r="Q8" s="18">
        <v>0</v>
      </c>
      <c r="R8" s="18">
        <f t="shared" si="4"/>
        <v>1649</v>
      </c>
      <c r="S8" s="18">
        <v>1649</v>
      </c>
      <c r="T8" s="18">
        <v>0</v>
      </c>
      <c r="U8" s="18">
        <f t="shared" si="5"/>
        <v>4597</v>
      </c>
      <c r="V8" s="18">
        <v>4597</v>
      </c>
      <c r="W8" s="18"/>
      <c r="X8" s="18">
        <f t="shared" si="6"/>
        <v>2881</v>
      </c>
      <c r="Y8" s="18">
        <v>2881</v>
      </c>
      <c r="Z8" s="18"/>
      <c r="AA8" s="18"/>
      <c r="AB8" s="18"/>
      <c r="AC8" s="18"/>
      <c r="AD8" s="18"/>
      <c r="AE8" s="18"/>
      <c r="AF8" s="18"/>
      <c r="AG8" s="18"/>
      <c r="AH8" s="18">
        <v>501</v>
      </c>
      <c r="AI8" s="18">
        <v>2</v>
      </c>
      <c r="AJ8" s="18">
        <f t="shared" si="7"/>
        <v>2902</v>
      </c>
      <c r="AK8" s="18">
        <v>2904</v>
      </c>
      <c r="AL8" s="18"/>
      <c r="AM8" s="18"/>
      <c r="AN8" s="18"/>
      <c r="AO8" s="18">
        <v>720</v>
      </c>
      <c r="AP8" s="18">
        <f t="shared" si="8"/>
        <v>3199</v>
      </c>
      <c r="AQ8" s="18">
        <v>3919</v>
      </c>
      <c r="AR8" s="18">
        <v>439</v>
      </c>
      <c r="AS8" s="18">
        <f t="shared" si="9"/>
        <v>20876</v>
      </c>
      <c r="AT8" s="18">
        <v>21315</v>
      </c>
      <c r="AU8" s="18">
        <v>0</v>
      </c>
      <c r="AV8" s="18">
        <f t="shared" si="10"/>
        <v>51417</v>
      </c>
      <c r="AW8" s="18">
        <v>51417</v>
      </c>
      <c r="AX8" s="18"/>
      <c r="AY8" s="18">
        <f t="shared" si="11"/>
        <v>438</v>
      </c>
      <c r="AZ8" s="18">
        <v>438</v>
      </c>
      <c r="BA8" s="18">
        <v>33</v>
      </c>
      <c r="BB8" s="18">
        <f t="shared" si="12"/>
        <v>2023</v>
      </c>
      <c r="BC8" s="18">
        <v>2056</v>
      </c>
      <c r="BD8" s="18"/>
      <c r="BE8" s="18">
        <f t="shared" si="13"/>
        <v>293</v>
      </c>
      <c r="BF8" s="18">
        <v>293</v>
      </c>
      <c r="BG8" s="18"/>
      <c r="BH8" s="18">
        <f t="shared" si="14"/>
        <v>3541</v>
      </c>
      <c r="BI8" s="18">
        <v>3541</v>
      </c>
      <c r="BJ8" s="18">
        <v>7736</v>
      </c>
      <c r="BK8" s="18">
        <f t="shared" si="15"/>
        <v>57856</v>
      </c>
      <c r="BL8" s="132">
        <v>65592</v>
      </c>
      <c r="BM8" s="18">
        <v>788</v>
      </c>
      <c r="BN8" s="18">
        <f t="shared" si="16"/>
        <v>27677</v>
      </c>
      <c r="BO8" s="18">
        <v>28465</v>
      </c>
      <c r="BP8" s="18">
        <v>3357</v>
      </c>
      <c r="BQ8" s="18">
        <f t="shared" si="17"/>
        <v>63661</v>
      </c>
      <c r="BR8" s="18">
        <v>67018</v>
      </c>
      <c r="BS8" s="18"/>
      <c r="BT8" s="18"/>
      <c r="BU8" s="18"/>
      <c r="BV8" s="18">
        <v>59</v>
      </c>
      <c r="BW8" s="18">
        <f t="shared" si="18"/>
        <v>7422</v>
      </c>
      <c r="BX8" s="18">
        <v>7481</v>
      </c>
      <c r="BY8" s="18"/>
      <c r="BZ8" s="18">
        <f t="shared" si="19"/>
        <v>6952</v>
      </c>
      <c r="CA8" s="18">
        <v>6952</v>
      </c>
      <c r="CB8" s="18"/>
      <c r="CC8" s="18">
        <f t="shared" si="20"/>
        <v>1896</v>
      </c>
      <c r="CD8" s="18">
        <v>1896</v>
      </c>
      <c r="CE8" s="18"/>
      <c r="CF8" s="18">
        <f t="shared" si="21"/>
        <v>1702</v>
      </c>
      <c r="CG8" s="35">
        <v>1702</v>
      </c>
      <c r="CH8" s="18">
        <v>1265</v>
      </c>
      <c r="CI8" s="18">
        <f t="shared" si="22"/>
        <v>2665</v>
      </c>
      <c r="CJ8" s="18">
        <v>3930</v>
      </c>
      <c r="CK8" s="18"/>
      <c r="CL8" s="18">
        <f t="shared" si="23"/>
        <v>16481</v>
      </c>
      <c r="CM8" s="18">
        <v>16481</v>
      </c>
      <c r="CN8" s="18"/>
      <c r="CO8" s="18">
        <f t="shared" si="24"/>
        <v>4556</v>
      </c>
      <c r="CP8" s="18">
        <v>4556</v>
      </c>
      <c r="CR8" s="18">
        <f t="shared" si="25"/>
        <v>214295</v>
      </c>
      <c r="CS8" s="18">
        <v>214295</v>
      </c>
      <c r="CT8" s="18"/>
      <c r="CU8" s="18">
        <f>CV8-CT8</f>
        <v>4711</v>
      </c>
      <c r="CV8" s="18">
        <v>4711</v>
      </c>
    </row>
    <row r="9" spans="1:100" x14ac:dyDescent="0.25">
      <c r="A9" s="18" t="s">
        <v>268</v>
      </c>
      <c r="B9" s="18"/>
      <c r="C9" s="18">
        <v>1</v>
      </c>
      <c r="D9" s="18">
        <v>1</v>
      </c>
      <c r="E9" s="18"/>
      <c r="F9" s="18"/>
      <c r="G9" s="18"/>
      <c r="H9" s="18"/>
      <c r="I9" s="18">
        <f t="shared" si="1"/>
        <v>22178</v>
      </c>
      <c r="J9" s="18">
        <v>22178</v>
      </c>
      <c r="K9" s="18"/>
      <c r="L9" s="18"/>
      <c r="M9" s="18"/>
      <c r="N9" s="18">
        <v>89</v>
      </c>
      <c r="O9" s="18">
        <f t="shared" si="3"/>
        <v>24710</v>
      </c>
      <c r="P9" s="18">
        <v>24799</v>
      </c>
      <c r="Q9" s="18">
        <v>152</v>
      </c>
      <c r="R9" s="18">
        <f t="shared" si="4"/>
        <v>3113</v>
      </c>
      <c r="S9" s="18">
        <v>3265</v>
      </c>
      <c r="T9" s="18">
        <v>1219</v>
      </c>
      <c r="U9" s="18">
        <f t="shared" si="5"/>
        <v>2720</v>
      </c>
      <c r="V9" s="18">
        <v>3939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>
        <v>0</v>
      </c>
      <c r="AI9" s="18">
        <v>44</v>
      </c>
      <c r="AJ9" s="18">
        <f t="shared" si="7"/>
        <v>2407</v>
      </c>
      <c r="AK9" s="18">
        <v>2451</v>
      </c>
      <c r="AL9" s="18">
        <v>4</v>
      </c>
      <c r="AM9" s="18">
        <f t="shared" ref="AM9:AM11" si="26">AN9-AL9</f>
        <v>122</v>
      </c>
      <c r="AN9" s="18">
        <v>126</v>
      </c>
      <c r="AO9" s="18">
        <v>269</v>
      </c>
      <c r="AP9" s="18">
        <f t="shared" si="8"/>
        <v>10469</v>
      </c>
      <c r="AQ9" s="18">
        <v>10738</v>
      </c>
      <c r="AR9" s="18">
        <v>1811</v>
      </c>
      <c r="AS9" s="18">
        <f t="shared" si="9"/>
        <v>21002</v>
      </c>
      <c r="AT9" s="18">
        <v>22813</v>
      </c>
      <c r="AU9" s="18">
        <v>0</v>
      </c>
      <c r="AV9" s="18">
        <f t="shared" si="10"/>
        <v>41940</v>
      </c>
      <c r="AW9" s="18">
        <v>41940</v>
      </c>
      <c r="AX9" s="18">
        <v>2</v>
      </c>
      <c r="AY9" s="18">
        <f t="shared" si="11"/>
        <v>517</v>
      </c>
      <c r="AZ9" s="18">
        <v>519</v>
      </c>
      <c r="BA9" s="18">
        <v>4</v>
      </c>
      <c r="BB9" s="18">
        <f t="shared" si="12"/>
        <v>1322</v>
      </c>
      <c r="BC9" s="18">
        <v>1326</v>
      </c>
      <c r="BD9" s="18">
        <v>133</v>
      </c>
      <c r="BE9" s="18">
        <f t="shared" si="13"/>
        <v>906</v>
      </c>
      <c r="BF9" s="18">
        <v>1039</v>
      </c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S9" s="18"/>
      <c r="BT9" s="18"/>
      <c r="BU9" s="18"/>
      <c r="BV9" s="18">
        <v>1184</v>
      </c>
      <c r="BW9" s="18">
        <f t="shared" si="18"/>
        <v>14291</v>
      </c>
      <c r="BX9" s="18">
        <v>15475</v>
      </c>
      <c r="BY9" s="18"/>
      <c r="BZ9" s="18"/>
      <c r="CA9" s="18"/>
      <c r="CB9" s="18">
        <v>568</v>
      </c>
      <c r="CC9" s="18">
        <f t="shared" si="20"/>
        <v>4196</v>
      </c>
      <c r="CD9" s="18">
        <v>4764</v>
      </c>
      <c r="CE9" s="18">
        <v>318</v>
      </c>
      <c r="CF9" s="18">
        <f t="shared" si="21"/>
        <v>7216</v>
      </c>
      <c r="CG9" s="35">
        <v>7534</v>
      </c>
      <c r="CH9" s="18">
        <v>286</v>
      </c>
      <c r="CI9" s="18">
        <f t="shared" si="22"/>
        <v>4992</v>
      </c>
      <c r="CJ9" s="18">
        <v>5278</v>
      </c>
      <c r="CK9" s="18"/>
      <c r="CL9" s="18">
        <f t="shared" si="23"/>
        <v>17580</v>
      </c>
      <c r="CM9" s="18">
        <v>17580</v>
      </c>
      <c r="CN9" s="18">
        <v>1280</v>
      </c>
      <c r="CO9" s="18">
        <f t="shared" si="24"/>
        <v>23759</v>
      </c>
      <c r="CP9" s="18">
        <v>25039</v>
      </c>
      <c r="CQ9" s="18">
        <v>11804</v>
      </c>
      <c r="CR9" s="18">
        <f t="shared" si="25"/>
        <v>10266</v>
      </c>
      <c r="CS9" s="18">
        <v>22070</v>
      </c>
      <c r="CT9" s="18">
        <v>387</v>
      </c>
      <c r="CU9" s="18">
        <f t="shared" ref="CU9:CU14" si="27">CV9-CT9</f>
        <v>11805</v>
      </c>
      <c r="CV9" s="18">
        <v>12192</v>
      </c>
    </row>
    <row r="10" spans="1:100" x14ac:dyDescent="0.25">
      <c r="A10" s="18" t="s">
        <v>269</v>
      </c>
      <c r="B10" s="18"/>
      <c r="C10" s="18"/>
      <c r="D10" s="18"/>
      <c r="E10" s="18"/>
      <c r="F10" s="18">
        <f t="shared" si="0"/>
        <v>3166</v>
      </c>
      <c r="G10" s="18">
        <v>3166</v>
      </c>
      <c r="H10" s="18"/>
      <c r="I10" s="18">
        <f t="shared" si="1"/>
        <v>8351816</v>
      </c>
      <c r="J10" s="18">
        <v>8351816</v>
      </c>
      <c r="K10" s="18"/>
      <c r="L10" s="18">
        <f t="shared" si="2"/>
        <v>22190</v>
      </c>
      <c r="M10" s="18">
        <v>22190</v>
      </c>
      <c r="N10" s="18">
        <v>49050</v>
      </c>
      <c r="O10" s="18">
        <f t="shared" si="3"/>
        <v>48645</v>
      </c>
      <c r="P10" s="18">
        <v>97695</v>
      </c>
      <c r="Q10" s="18">
        <v>14654</v>
      </c>
      <c r="R10" s="18">
        <f t="shared" si="4"/>
        <v>14339</v>
      </c>
      <c r="S10" s="18">
        <v>28993</v>
      </c>
      <c r="T10" s="18">
        <v>26228</v>
      </c>
      <c r="U10" s="18">
        <f t="shared" si="5"/>
        <v>24558</v>
      </c>
      <c r="V10" s="18">
        <v>50786</v>
      </c>
      <c r="W10" s="18"/>
      <c r="X10" s="18">
        <f t="shared" si="6"/>
        <v>904</v>
      </c>
      <c r="Y10" s="18">
        <v>904</v>
      </c>
      <c r="Z10" s="18"/>
      <c r="AA10" s="18"/>
      <c r="AB10" s="18">
        <v>8</v>
      </c>
      <c r="AC10" s="18"/>
      <c r="AD10" s="18"/>
      <c r="AE10" s="18"/>
      <c r="AF10" s="18"/>
      <c r="AG10" s="18"/>
      <c r="AH10" s="18">
        <v>550</v>
      </c>
      <c r="AI10" s="18">
        <v>8406</v>
      </c>
      <c r="AJ10" s="18">
        <f t="shared" si="7"/>
        <v>41877</v>
      </c>
      <c r="AK10" s="18">
        <v>50283</v>
      </c>
      <c r="AL10" s="18">
        <v>1</v>
      </c>
      <c r="AM10" s="18">
        <f t="shared" si="26"/>
        <v>183</v>
      </c>
      <c r="AN10" s="18">
        <v>184</v>
      </c>
      <c r="AO10" s="18">
        <v>26174</v>
      </c>
      <c r="AP10" s="18">
        <f t="shared" si="8"/>
        <v>26012</v>
      </c>
      <c r="AQ10" s="18">
        <v>52186</v>
      </c>
      <c r="AR10" s="18">
        <v>57200</v>
      </c>
      <c r="AS10" s="18">
        <f t="shared" si="9"/>
        <v>110829</v>
      </c>
      <c r="AT10" s="18">
        <v>168029</v>
      </c>
      <c r="AU10" s="18">
        <v>37430</v>
      </c>
      <c r="AV10" s="18">
        <f t="shared" si="10"/>
        <v>53965</v>
      </c>
      <c r="AW10" s="18">
        <v>91395</v>
      </c>
      <c r="AX10" s="18">
        <v>131</v>
      </c>
      <c r="AY10" s="18">
        <f t="shared" si="11"/>
        <v>773</v>
      </c>
      <c r="AZ10" s="18">
        <v>904</v>
      </c>
      <c r="BA10" s="18">
        <v>2237</v>
      </c>
      <c r="BB10" s="18">
        <f t="shared" si="12"/>
        <v>5513</v>
      </c>
      <c r="BC10" s="18">
        <v>7750</v>
      </c>
      <c r="BD10" s="18">
        <v>4603</v>
      </c>
      <c r="BE10" s="18">
        <f t="shared" si="13"/>
        <v>1579</v>
      </c>
      <c r="BF10" s="18">
        <v>6182</v>
      </c>
      <c r="BG10" s="18"/>
      <c r="BH10" s="18">
        <f t="shared" si="14"/>
        <v>1985</v>
      </c>
      <c r="BI10" s="18">
        <v>1985</v>
      </c>
      <c r="BJ10" s="18">
        <v>127745</v>
      </c>
      <c r="BK10" s="18">
        <f>BL10-BJ10</f>
        <v>365245</v>
      </c>
      <c r="BL10" s="18">
        <v>492990</v>
      </c>
      <c r="BM10" s="18">
        <v>147359</v>
      </c>
      <c r="BN10" s="18">
        <f t="shared" ref="BN10:BN14" si="28">BO10-BM10</f>
        <v>136651</v>
      </c>
      <c r="BO10" s="18">
        <v>284010</v>
      </c>
      <c r="BP10" s="18">
        <v>114733</v>
      </c>
      <c r="BQ10" s="18">
        <f t="shared" ref="BQ10:BQ14" si="29">BR10-BP10</f>
        <v>127502</v>
      </c>
      <c r="BR10" s="18">
        <v>242235</v>
      </c>
      <c r="BS10" s="18">
        <v>147</v>
      </c>
      <c r="BT10" s="18">
        <f t="shared" ref="BT10:BT14" si="30">BU10-BS10</f>
        <v>198</v>
      </c>
      <c r="BU10" s="18">
        <v>345</v>
      </c>
      <c r="BV10" s="18">
        <v>64826</v>
      </c>
      <c r="BW10" s="18">
        <f t="shared" si="18"/>
        <v>197681</v>
      </c>
      <c r="BX10" s="18">
        <v>262507</v>
      </c>
      <c r="BY10" s="18"/>
      <c r="BZ10" s="18">
        <f t="shared" si="19"/>
        <v>4965</v>
      </c>
      <c r="CA10" s="18">
        <v>4965</v>
      </c>
      <c r="CB10" s="18">
        <v>19044</v>
      </c>
      <c r="CC10" s="18">
        <f t="shared" si="20"/>
        <v>10623</v>
      </c>
      <c r="CD10" s="18">
        <v>29667</v>
      </c>
      <c r="CE10" s="18">
        <v>7014</v>
      </c>
      <c r="CF10" s="18">
        <f t="shared" si="21"/>
        <v>14480</v>
      </c>
      <c r="CG10" s="35">
        <v>21494</v>
      </c>
      <c r="CH10" s="18">
        <v>45900</v>
      </c>
      <c r="CI10" s="18">
        <f t="shared" si="22"/>
        <v>172427</v>
      </c>
      <c r="CJ10" s="18">
        <v>218327</v>
      </c>
      <c r="CK10" s="18"/>
      <c r="CL10" s="18">
        <f t="shared" si="23"/>
        <v>31618</v>
      </c>
      <c r="CM10" s="18">
        <v>31618</v>
      </c>
      <c r="CN10" s="18">
        <v>14557</v>
      </c>
      <c r="CO10" s="18">
        <f t="shared" si="24"/>
        <v>24490</v>
      </c>
      <c r="CP10" s="18">
        <v>39047</v>
      </c>
      <c r="CQ10" s="18">
        <v>174009</v>
      </c>
      <c r="CR10" s="18">
        <f t="shared" si="25"/>
        <v>1511171</v>
      </c>
      <c r="CS10" s="18">
        <v>1685180</v>
      </c>
      <c r="CT10" s="18">
        <v>5742</v>
      </c>
      <c r="CU10" s="18">
        <f t="shared" si="27"/>
        <v>3947</v>
      </c>
      <c r="CV10" s="18">
        <v>9689</v>
      </c>
    </row>
    <row r="11" spans="1:100" x14ac:dyDescent="0.25">
      <c r="A11" s="18" t="s">
        <v>270</v>
      </c>
      <c r="B11" s="18"/>
      <c r="C11" s="18"/>
      <c r="D11" s="18"/>
      <c r="E11" s="18"/>
      <c r="F11" s="18">
        <f t="shared" si="0"/>
        <v>3153</v>
      </c>
      <c r="G11" s="18">
        <v>3153</v>
      </c>
      <c r="H11" s="18"/>
      <c r="I11" s="18">
        <f t="shared" si="1"/>
        <v>3321437</v>
      </c>
      <c r="J11" s="18">
        <v>3321437</v>
      </c>
      <c r="K11" s="18"/>
      <c r="L11" s="18">
        <f t="shared" si="2"/>
        <v>22190</v>
      </c>
      <c r="M11" s="18">
        <v>22190</v>
      </c>
      <c r="N11" s="18">
        <v>2871</v>
      </c>
      <c r="O11" s="18">
        <f t="shared" si="3"/>
        <v>28048</v>
      </c>
      <c r="P11" s="18">
        <v>30919</v>
      </c>
      <c r="Q11" s="18">
        <v>966</v>
      </c>
      <c r="R11" s="18">
        <f t="shared" si="4"/>
        <v>10486</v>
      </c>
      <c r="S11" s="18">
        <v>11452</v>
      </c>
      <c r="T11" s="18">
        <v>4054</v>
      </c>
      <c r="U11" s="18">
        <f t="shared" si="5"/>
        <v>7645</v>
      </c>
      <c r="V11" s="18">
        <v>11699</v>
      </c>
      <c r="W11" s="18"/>
      <c r="X11" s="18">
        <f t="shared" si="6"/>
        <v>806</v>
      </c>
      <c r="Y11" s="18">
        <v>806</v>
      </c>
      <c r="Z11" s="18"/>
      <c r="AA11" s="18"/>
      <c r="AB11" s="18">
        <v>8</v>
      </c>
      <c r="AC11" s="18"/>
      <c r="AD11" s="18"/>
      <c r="AE11" s="18"/>
      <c r="AF11" s="18"/>
      <c r="AG11" s="18"/>
      <c r="AH11" s="18">
        <v>322</v>
      </c>
      <c r="AI11" s="18">
        <v>912</v>
      </c>
      <c r="AJ11" s="18">
        <f t="shared" si="7"/>
        <v>21848</v>
      </c>
      <c r="AK11" s="18">
        <v>22760</v>
      </c>
      <c r="AL11" s="18">
        <v>1</v>
      </c>
      <c r="AM11" s="18">
        <f t="shared" si="26"/>
        <v>183</v>
      </c>
      <c r="AN11" s="18">
        <v>184</v>
      </c>
      <c r="AO11" s="18">
        <v>2922</v>
      </c>
      <c r="AP11" s="18">
        <f t="shared" si="8"/>
        <v>20833</v>
      </c>
      <c r="AQ11" s="18">
        <v>23755</v>
      </c>
      <c r="AR11" s="18">
        <v>4630</v>
      </c>
      <c r="AS11" s="18">
        <f t="shared" si="9"/>
        <v>96030</v>
      </c>
      <c r="AT11" s="18">
        <v>100660</v>
      </c>
      <c r="AU11" s="18">
        <v>3336</v>
      </c>
      <c r="AV11" s="18">
        <f t="shared" si="10"/>
        <v>25879</v>
      </c>
      <c r="AW11" s="18">
        <v>29215</v>
      </c>
      <c r="AX11" s="18">
        <v>37</v>
      </c>
      <c r="AY11" s="18">
        <f t="shared" si="11"/>
        <v>660</v>
      </c>
      <c r="AZ11" s="18">
        <v>697</v>
      </c>
      <c r="BA11" s="18">
        <v>451</v>
      </c>
      <c r="BB11" s="18">
        <f t="shared" si="12"/>
        <v>4386</v>
      </c>
      <c r="BC11" s="18">
        <v>4837</v>
      </c>
      <c r="BD11" s="18">
        <v>667</v>
      </c>
      <c r="BE11" s="18">
        <f t="shared" si="13"/>
        <v>918</v>
      </c>
      <c r="BF11" s="18">
        <v>1585</v>
      </c>
      <c r="BG11" s="18"/>
      <c r="BH11" s="18">
        <f t="shared" si="14"/>
        <v>1976</v>
      </c>
      <c r="BI11" s="18">
        <v>1976</v>
      </c>
      <c r="BJ11" s="18">
        <v>17008</v>
      </c>
      <c r="BK11" s="18">
        <f t="shared" ref="BK11:BK15" si="31">BL11-BJ11</f>
        <v>240544</v>
      </c>
      <c r="BL11" s="18">
        <v>257552</v>
      </c>
      <c r="BM11" s="18">
        <f>1838+5923</f>
        <v>7761</v>
      </c>
      <c r="BN11" s="18">
        <f t="shared" si="28"/>
        <v>106814</v>
      </c>
      <c r="BO11" s="18">
        <f>34447+80128</f>
        <v>114575</v>
      </c>
      <c r="BP11" s="18">
        <v>56698</v>
      </c>
      <c r="BQ11" s="18">
        <f t="shared" si="29"/>
        <v>112666</v>
      </c>
      <c r="BR11" s="18">
        <v>169364</v>
      </c>
      <c r="BS11" s="18">
        <v>45</v>
      </c>
      <c r="BT11" s="18">
        <f t="shared" si="30"/>
        <v>48</v>
      </c>
      <c r="BU11" s="18">
        <v>93</v>
      </c>
      <c r="BV11" s="18">
        <v>3564</v>
      </c>
      <c r="BW11" s="18">
        <f t="shared" si="18"/>
        <v>185764</v>
      </c>
      <c r="BX11" s="18">
        <v>189328</v>
      </c>
      <c r="BY11" s="18"/>
      <c r="BZ11" s="18">
        <f t="shared" si="19"/>
        <v>3832</v>
      </c>
      <c r="CA11" s="18">
        <v>3832</v>
      </c>
      <c r="CB11" s="18">
        <v>2203</v>
      </c>
      <c r="CC11" s="18">
        <f t="shared" si="20"/>
        <v>7607</v>
      </c>
      <c r="CD11" s="18">
        <v>9810</v>
      </c>
      <c r="CE11" s="18">
        <v>684</v>
      </c>
      <c r="CF11" s="18">
        <f t="shared" si="21"/>
        <v>10551</v>
      </c>
      <c r="CG11" s="35">
        <v>11235</v>
      </c>
      <c r="CH11" s="18">
        <v>4397</v>
      </c>
      <c r="CI11" s="18">
        <f t="shared" si="22"/>
        <v>168914</v>
      </c>
      <c r="CJ11" s="18">
        <v>173311</v>
      </c>
      <c r="CK11" s="18"/>
      <c r="CL11" s="18">
        <f t="shared" si="23"/>
        <v>28647</v>
      </c>
      <c r="CM11" s="18">
        <v>28647</v>
      </c>
      <c r="CN11" s="18">
        <v>1231</v>
      </c>
      <c r="CO11" s="18">
        <f t="shared" si="24"/>
        <v>17429</v>
      </c>
      <c r="CP11" s="18">
        <v>18660</v>
      </c>
      <c r="CQ11" s="18">
        <v>23817</v>
      </c>
      <c r="CR11" s="18">
        <f t="shared" si="25"/>
        <v>544670</v>
      </c>
      <c r="CS11" s="18">
        <v>568487</v>
      </c>
      <c r="CT11" s="18">
        <v>666</v>
      </c>
      <c r="CU11" s="18">
        <f t="shared" si="27"/>
        <v>3517</v>
      </c>
      <c r="CV11" s="18">
        <v>4183</v>
      </c>
    </row>
    <row r="12" spans="1:100" x14ac:dyDescent="0.25">
      <c r="A12" s="18" t="s">
        <v>271</v>
      </c>
      <c r="B12" s="18"/>
      <c r="C12" s="18"/>
      <c r="D12" s="18"/>
      <c r="E12" s="18"/>
      <c r="F12" s="18">
        <f t="shared" si="0"/>
        <v>13</v>
      </c>
      <c r="G12" s="18">
        <v>13</v>
      </c>
      <c r="H12" s="18"/>
      <c r="I12" s="18">
        <f t="shared" si="1"/>
        <v>1584631</v>
      </c>
      <c r="J12" s="18">
        <v>1584631</v>
      </c>
      <c r="K12" s="18"/>
      <c r="L12" s="18"/>
      <c r="M12" s="18"/>
      <c r="N12" s="18">
        <v>2425</v>
      </c>
      <c r="O12" s="18">
        <f t="shared" si="3"/>
        <v>3886</v>
      </c>
      <c r="P12" s="18">
        <v>6311</v>
      </c>
      <c r="Q12" s="18">
        <v>987</v>
      </c>
      <c r="R12" s="18">
        <f t="shared" si="4"/>
        <v>1347</v>
      </c>
      <c r="S12" s="18">
        <v>2334</v>
      </c>
      <c r="T12" s="18">
        <v>2796</v>
      </c>
      <c r="U12" s="18">
        <f t="shared" si="5"/>
        <v>913</v>
      </c>
      <c r="V12" s="18">
        <v>3709</v>
      </c>
      <c r="W12" s="18"/>
      <c r="X12" s="18">
        <f t="shared" si="6"/>
        <v>61</v>
      </c>
      <c r="Y12" s="18">
        <v>61</v>
      </c>
      <c r="Z12" s="18"/>
      <c r="AA12" s="18"/>
      <c r="AB12" s="18"/>
      <c r="AC12" s="18"/>
      <c r="AD12" s="18"/>
      <c r="AE12" s="18"/>
      <c r="AF12" s="18"/>
      <c r="AG12" s="18"/>
      <c r="AH12" s="18">
        <v>84</v>
      </c>
      <c r="AI12" s="18">
        <v>706</v>
      </c>
      <c r="AJ12" s="18">
        <f t="shared" si="7"/>
        <v>15503</v>
      </c>
      <c r="AK12" s="18">
        <v>16209</v>
      </c>
      <c r="AL12" s="18"/>
      <c r="AM12" s="18"/>
      <c r="AN12" s="18"/>
      <c r="AO12" s="18">
        <v>2088</v>
      </c>
      <c r="AP12" s="18">
        <f t="shared" si="8"/>
        <v>2387</v>
      </c>
      <c r="AQ12" s="18">
        <v>4475</v>
      </c>
      <c r="AR12" s="18">
        <v>3521</v>
      </c>
      <c r="AS12" s="18">
        <f t="shared" si="9"/>
        <v>5059</v>
      </c>
      <c r="AT12" s="18">
        <v>8580</v>
      </c>
      <c r="AU12" s="18">
        <v>3459</v>
      </c>
      <c r="AV12" s="18">
        <f t="shared" si="10"/>
        <v>6109</v>
      </c>
      <c r="AW12" s="18">
        <v>9568</v>
      </c>
      <c r="AX12" s="18">
        <v>20</v>
      </c>
      <c r="AY12" s="18">
        <f t="shared" si="11"/>
        <v>73</v>
      </c>
      <c r="AZ12" s="18">
        <v>93</v>
      </c>
      <c r="BA12" s="18">
        <v>294</v>
      </c>
      <c r="BB12" s="18">
        <f t="shared" si="12"/>
        <v>452</v>
      </c>
      <c r="BC12" s="18">
        <v>746</v>
      </c>
      <c r="BD12" s="18">
        <v>473</v>
      </c>
      <c r="BE12" s="18">
        <f t="shared" si="13"/>
        <v>238</v>
      </c>
      <c r="BF12" s="18">
        <v>711</v>
      </c>
      <c r="BG12" s="18"/>
      <c r="BH12" s="18">
        <f t="shared" si="14"/>
        <v>8</v>
      </c>
      <c r="BI12" s="18">
        <v>8</v>
      </c>
      <c r="BJ12" s="18">
        <v>3468</v>
      </c>
      <c r="BK12" s="18">
        <f t="shared" si="31"/>
        <v>54383</v>
      </c>
      <c r="BL12" s="18">
        <v>57851</v>
      </c>
      <c r="BM12" s="18">
        <v>8991</v>
      </c>
      <c r="BN12" s="18">
        <f t="shared" si="28"/>
        <v>9635</v>
      </c>
      <c r="BO12" s="18">
        <v>18626</v>
      </c>
      <c r="BP12" s="18">
        <v>37400</v>
      </c>
      <c r="BQ12" s="18">
        <f t="shared" si="29"/>
        <v>2180</v>
      </c>
      <c r="BR12" s="18">
        <v>39580</v>
      </c>
      <c r="BS12" s="18">
        <v>45</v>
      </c>
      <c r="BT12" s="18">
        <f t="shared" si="30"/>
        <v>61</v>
      </c>
      <c r="BU12" s="18">
        <v>106</v>
      </c>
      <c r="BV12" s="18">
        <v>3153</v>
      </c>
      <c r="BW12" s="18">
        <f t="shared" si="18"/>
        <v>2844</v>
      </c>
      <c r="BX12" s="18">
        <v>5997</v>
      </c>
      <c r="BY12" s="18"/>
      <c r="BZ12" s="18">
        <f t="shared" si="19"/>
        <v>1012</v>
      </c>
      <c r="CA12" s="18">
        <v>1012</v>
      </c>
      <c r="CB12" s="18">
        <v>1590</v>
      </c>
      <c r="CC12" s="18">
        <f t="shared" si="20"/>
        <v>927</v>
      </c>
      <c r="CD12" s="18">
        <v>2517</v>
      </c>
      <c r="CE12" s="18">
        <v>549</v>
      </c>
      <c r="CF12" s="18">
        <f t="shared" si="21"/>
        <v>1572</v>
      </c>
      <c r="CG12" s="35">
        <v>2121</v>
      </c>
      <c r="CH12" s="18">
        <v>2984</v>
      </c>
      <c r="CI12" s="18">
        <f t="shared" si="22"/>
        <v>747</v>
      </c>
      <c r="CJ12" s="18">
        <v>3731</v>
      </c>
      <c r="CK12" s="18"/>
      <c r="CL12" s="18">
        <f t="shared" si="23"/>
        <v>1570</v>
      </c>
      <c r="CM12" s="18">
        <v>1570</v>
      </c>
      <c r="CN12" s="18">
        <v>1158</v>
      </c>
      <c r="CO12" s="18">
        <f t="shared" si="24"/>
        <v>2997</v>
      </c>
      <c r="CP12" s="18">
        <v>4155</v>
      </c>
      <c r="CQ12" s="18">
        <v>14957</v>
      </c>
      <c r="CR12" s="18">
        <f t="shared" si="25"/>
        <v>34043</v>
      </c>
      <c r="CS12" s="18">
        <v>49000</v>
      </c>
      <c r="CT12" s="18">
        <v>494</v>
      </c>
      <c r="CU12" s="18">
        <f t="shared" si="27"/>
        <v>180</v>
      </c>
      <c r="CV12" s="18">
        <v>674</v>
      </c>
    </row>
    <row r="13" spans="1:100" x14ac:dyDescent="0.25">
      <c r="A13" s="18" t="s">
        <v>272</v>
      </c>
      <c r="B13" s="18"/>
      <c r="C13" s="18"/>
      <c r="D13" s="18"/>
      <c r="E13" s="18"/>
      <c r="F13" s="18"/>
      <c r="G13" s="18"/>
      <c r="H13" s="18"/>
      <c r="I13" s="18">
        <f t="shared" si="1"/>
        <v>1190374</v>
      </c>
      <c r="J13" s="18">
        <v>1190374</v>
      </c>
      <c r="K13" s="18"/>
      <c r="L13" s="18"/>
      <c r="M13" s="18"/>
      <c r="N13" s="18">
        <v>4501</v>
      </c>
      <c r="O13" s="18">
        <f t="shared" si="3"/>
        <v>6228</v>
      </c>
      <c r="P13" s="18">
        <v>10729</v>
      </c>
      <c r="Q13" s="18">
        <v>1786</v>
      </c>
      <c r="R13" s="18">
        <f t="shared" si="4"/>
        <v>821</v>
      </c>
      <c r="S13" s="18">
        <v>2607</v>
      </c>
      <c r="T13" s="18">
        <v>4349</v>
      </c>
      <c r="U13" s="18">
        <f t="shared" si="5"/>
        <v>425</v>
      </c>
      <c r="V13" s="18">
        <v>4774</v>
      </c>
      <c r="W13" s="18"/>
      <c r="X13" s="18">
        <f t="shared" si="6"/>
        <v>37</v>
      </c>
      <c r="Y13" s="18">
        <v>37</v>
      </c>
      <c r="Z13" s="18"/>
      <c r="AA13" s="18"/>
      <c r="AB13" s="18"/>
      <c r="AC13" s="18"/>
      <c r="AD13" s="18"/>
      <c r="AE13" s="18"/>
      <c r="AF13" s="18"/>
      <c r="AG13" s="18"/>
      <c r="AH13" s="18">
        <v>86</v>
      </c>
      <c r="AI13" s="18">
        <v>1014</v>
      </c>
      <c r="AJ13" s="18">
        <f t="shared" si="7"/>
        <v>2036</v>
      </c>
      <c r="AK13" s="18">
        <v>3050</v>
      </c>
      <c r="AL13" s="18"/>
      <c r="AM13" s="18"/>
      <c r="AN13" s="18"/>
      <c r="AO13" s="18">
        <v>3714</v>
      </c>
      <c r="AP13" s="18">
        <f t="shared" si="8"/>
        <v>1505</v>
      </c>
      <c r="AQ13" s="18">
        <v>5219</v>
      </c>
      <c r="AR13" s="18">
        <v>6473</v>
      </c>
      <c r="AS13" s="18">
        <f t="shared" si="9"/>
        <v>3425</v>
      </c>
      <c r="AT13" s="18">
        <v>9898</v>
      </c>
      <c r="AU13" s="18">
        <v>6279</v>
      </c>
      <c r="AV13" s="18">
        <f t="shared" si="10"/>
        <v>4707</v>
      </c>
      <c r="AW13" s="18">
        <v>10986</v>
      </c>
      <c r="AX13" s="18">
        <v>50</v>
      </c>
      <c r="AY13" s="18">
        <f t="shared" si="11"/>
        <v>35</v>
      </c>
      <c r="AZ13" s="18">
        <v>85</v>
      </c>
      <c r="BA13" s="18">
        <v>568</v>
      </c>
      <c r="BB13" s="18">
        <f t="shared" si="12"/>
        <v>343</v>
      </c>
      <c r="BC13" s="18">
        <v>911</v>
      </c>
      <c r="BD13" s="18">
        <v>756</v>
      </c>
      <c r="BE13" s="18">
        <f t="shared" si="13"/>
        <v>186</v>
      </c>
      <c r="BF13" s="18">
        <v>942</v>
      </c>
      <c r="BG13" s="18"/>
      <c r="BH13" s="18">
        <f t="shared" si="14"/>
        <v>1</v>
      </c>
      <c r="BI13" s="18">
        <v>1</v>
      </c>
      <c r="BJ13" s="18">
        <v>5202</v>
      </c>
      <c r="BK13" s="18">
        <f t="shared" si="31"/>
        <v>32143</v>
      </c>
      <c r="BL13" s="18">
        <v>37345</v>
      </c>
      <c r="BM13" s="18">
        <v>17020</v>
      </c>
      <c r="BN13" s="18">
        <f t="shared" si="28"/>
        <v>9410</v>
      </c>
      <c r="BO13" s="18">
        <v>26430</v>
      </c>
      <c r="BP13" s="18">
        <v>2285</v>
      </c>
      <c r="BQ13" s="18">
        <f t="shared" si="29"/>
        <v>4587</v>
      </c>
      <c r="BR13" s="18">
        <v>6872</v>
      </c>
      <c r="BS13" s="18">
        <v>36</v>
      </c>
      <c r="BT13" s="18">
        <f t="shared" si="30"/>
        <v>30</v>
      </c>
      <c r="BU13" s="18">
        <v>66</v>
      </c>
      <c r="BV13" s="18">
        <v>5625</v>
      </c>
      <c r="BW13" s="18">
        <f t="shared" si="18"/>
        <v>1850</v>
      </c>
      <c r="BX13" s="18">
        <v>7475</v>
      </c>
      <c r="BY13" s="18"/>
      <c r="BZ13" s="18">
        <f t="shared" si="19"/>
        <v>121</v>
      </c>
      <c r="CA13" s="18">
        <v>121</v>
      </c>
      <c r="CB13" s="18">
        <v>2353</v>
      </c>
      <c r="CC13" s="18">
        <f t="shared" si="20"/>
        <v>886</v>
      </c>
      <c r="CD13" s="18">
        <v>3239</v>
      </c>
      <c r="CE13" s="18">
        <v>1131</v>
      </c>
      <c r="CF13" s="18">
        <f t="shared" si="21"/>
        <v>1092</v>
      </c>
      <c r="CG13" s="35">
        <v>2223</v>
      </c>
      <c r="CH13" s="18">
        <v>4730</v>
      </c>
      <c r="CI13" s="18">
        <f t="shared" si="22"/>
        <v>391</v>
      </c>
      <c r="CJ13" s="18">
        <v>5121</v>
      </c>
      <c r="CK13" s="18"/>
      <c r="CL13" s="18">
        <f t="shared" si="23"/>
        <v>1269</v>
      </c>
      <c r="CM13" s="18">
        <v>1269</v>
      </c>
      <c r="CN13" s="18">
        <v>2422</v>
      </c>
      <c r="CO13" s="18">
        <f t="shared" si="24"/>
        <v>1920</v>
      </c>
      <c r="CP13" s="18">
        <v>4342</v>
      </c>
      <c r="CQ13" s="18">
        <v>27113</v>
      </c>
      <c r="CR13" s="18">
        <f t="shared" si="25"/>
        <v>893960</v>
      </c>
      <c r="CS13" s="18">
        <v>921073</v>
      </c>
      <c r="CT13" s="18">
        <v>1324</v>
      </c>
      <c r="CU13" s="18">
        <f t="shared" si="27"/>
        <v>74</v>
      </c>
      <c r="CV13" s="18">
        <v>1398</v>
      </c>
    </row>
    <row r="14" spans="1:100" x14ac:dyDescent="0.25">
      <c r="A14" s="18" t="s">
        <v>273</v>
      </c>
      <c r="B14" s="18"/>
      <c r="C14" s="18"/>
      <c r="D14" s="18"/>
      <c r="E14" s="18"/>
      <c r="F14" s="18"/>
      <c r="G14" s="18"/>
      <c r="H14" s="18"/>
      <c r="I14" s="18">
        <f t="shared" si="1"/>
        <v>2255374</v>
      </c>
      <c r="J14" s="18">
        <v>2255374</v>
      </c>
      <c r="K14" s="18"/>
      <c r="L14" s="18"/>
      <c r="M14" s="18"/>
      <c r="N14" s="18">
        <v>39253</v>
      </c>
      <c r="O14" s="18">
        <f t="shared" si="3"/>
        <v>10483</v>
      </c>
      <c r="P14" s="18">
        <v>49736</v>
      </c>
      <c r="Q14" s="18">
        <v>10915</v>
      </c>
      <c r="R14" s="18">
        <f t="shared" si="4"/>
        <v>1685</v>
      </c>
      <c r="S14" s="18">
        <v>12600</v>
      </c>
      <c r="T14" s="18">
        <v>15029</v>
      </c>
      <c r="U14" s="18">
        <f t="shared" si="5"/>
        <v>15575</v>
      </c>
      <c r="V14" s="18">
        <v>30604</v>
      </c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>
        <v>58</v>
      </c>
      <c r="AI14" s="18">
        <v>5774</v>
      </c>
      <c r="AJ14" s="18">
        <f t="shared" si="7"/>
        <v>2490</v>
      </c>
      <c r="AK14" s="18">
        <v>8264</v>
      </c>
      <c r="AL14" s="18"/>
      <c r="AM14" s="18"/>
      <c r="AN14" s="18"/>
      <c r="AO14" s="18">
        <v>17450</v>
      </c>
      <c r="AP14" s="18">
        <f t="shared" si="8"/>
        <v>1287</v>
      </c>
      <c r="AQ14" s="18">
        <v>18737</v>
      </c>
      <c r="AR14" s="18">
        <v>42576</v>
      </c>
      <c r="AS14" s="18">
        <f t="shared" si="9"/>
        <v>6315</v>
      </c>
      <c r="AT14" s="18">
        <v>48891</v>
      </c>
      <c r="AU14" s="18">
        <v>24356</v>
      </c>
      <c r="AV14" s="18">
        <f t="shared" si="10"/>
        <v>17270</v>
      </c>
      <c r="AW14" s="18">
        <v>41626</v>
      </c>
      <c r="AX14" s="18">
        <v>24</v>
      </c>
      <c r="AY14" s="18">
        <f t="shared" si="11"/>
        <v>5</v>
      </c>
      <c r="AZ14" s="18">
        <v>29</v>
      </c>
      <c r="BA14" s="18">
        <v>924</v>
      </c>
      <c r="BB14" s="18">
        <f t="shared" si="12"/>
        <v>332</v>
      </c>
      <c r="BC14" s="18">
        <v>1256</v>
      </c>
      <c r="BD14" s="18">
        <v>2707</v>
      </c>
      <c r="BE14" s="18">
        <f t="shared" si="13"/>
        <v>237</v>
      </c>
      <c r="BF14" s="18">
        <v>2944</v>
      </c>
      <c r="BG14" s="18"/>
      <c r="BH14" s="18"/>
      <c r="BI14" s="18"/>
      <c r="BJ14" s="18">
        <v>8004</v>
      </c>
      <c r="BK14" s="18">
        <f t="shared" si="31"/>
        <v>20861</v>
      </c>
      <c r="BL14" s="18">
        <v>28865</v>
      </c>
      <c r="BM14" s="18">
        <v>113582</v>
      </c>
      <c r="BN14" s="18">
        <f t="shared" si="28"/>
        <v>10792</v>
      </c>
      <c r="BO14" s="18">
        <v>124374</v>
      </c>
      <c r="BP14" s="18">
        <v>18350</v>
      </c>
      <c r="BQ14" s="18">
        <f t="shared" si="29"/>
        <v>8069</v>
      </c>
      <c r="BR14" s="18">
        <v>26419</v>
      </c>
      <c r="BS14" s="18">
        <v>21</v>
      </c>
      <c r="BT14" s="18">
        <f t="shared" si="30"/>
        <v>59</v>
      </c>
      <c r="BU14" s="18">
        <v>80</v>
      </c>
      <c r="BV14" s="18">
        <v>52484</v>
      </c>
      <c r="BW14" s="18">
        <f t="shared" si="18"/>
        <v>7223</v>
      </c>
      <c r="BX14" s="18">
        <v>59707</v>
      </c>
      <c r="BY14" s="18"/>
      <c r="BZ14" s="18"/>
      <c r="CA14" s="18"/>
      <c r="CB14" s="18">
        <v>12898</v>
      </c>
      <c r="CC14" s="18">
        <f t="shared" si="20"/>
        <v>1203</v>
      </c>
      <c r="CD14" s="18">
        <v>14101</v>
      </c>
      <c r="CE14" s="18">
        <v>3305</v>
      </c>
      <c r="CF14" s="18">
        <f t="shared" si="21"/>
        <v>707</v>
      </c>
      <c r="CG14" s="35">
        <v>4012</v>
      </c>
      <c r="CH14" s="18">
        <v>33789</v>
      </c>
      <c r="CI14" s="18">
        <f t="shared" si="22"/>
        <v>2375</v>
      </c>
      <c r="CJ14" s="18">
        <v>36164</v>
      </c>
      <c r="CK14" s="18"/>
      <c r="CL14" s="18">
        <f t="shared" si="23"/>
        <v>132</v>
      </c>
      <c r="CM14" s="18">
        <v>132</v>
      </c>
      <c r="CN14" s="18">
        <v>9746</v>
      </c>
      <c r="CO14" s="18">
        <f t="shared" si="24"/>
        <v>2144</v>
      </c>
      <c r="CP14" s="18">
        <v>11890</v>
      </c>
      <c r="CQ14" s="18">
        <v>108122</v>
      </c>
      <c r="CR14" s="18">
        <f t="shared" si="25"/>
        <v>38498</v>
      </c>
      <c r="CS14" s="18">
        <v>146620</v>
      </c>
      <c r="CT14" s="18">
        <v>3258</v>
      </c>
      <c r="CU14" s="18">
        <f t="shared" si="27"/>
        <v>176</v>
      </c>
      <c r="CV14" s="18">
        <v>3434</v>
      </c>
    </row>
    <row r="15" spans="1:100" x14ac:dyDescent="0.25">
      <c r="A15" s="18" t="s">
        <v>274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>
        <v>94063</v>
      </c>
      <c r="BK15" s="18">
        <f t="shared" si="31"/>
        <v>17314</v>
      </c>
      <c r="BL15" s="18">
        <v>111377</v>
      </c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>
        <v>1345</v>
      </c>
      <c r="CF15" s="18">
        <f t="shared" si="21"/>
        <v>558</v>
      </c>
      <c r="CG15" s="35">
        <v>1903</v>
      </c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</row>
  </sheetData>
  <mergeCells count="33">
    <mergeCell ref="CK3:CM3"/>
    <mergeCell ref="CN3:CP3"/>
    <mergeCell ref="CQ3:CS3"/>
    <mergeCell ref="CT3:CV3"/>
    <mergeCell ref="BV3:BX3"/>
    <mergeCell ref="BY3:CA3"/>
    <mergeCell ref="CB3:CD3"/>
    <mergeCell ref="CE3:CG3"/>
    <mergeCell ref="CH3:CJ3"/>
    <mergeCell ref="BS3:BU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AI3:AK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1" style="2" customWidth="1"/>
    <col min="2" max="34" width="14.7109375" customWidth="1"/>
  </cols>
  <sheetData>
    <row r="1" spans="1:34" ht="37.5" x14ac:dyDescent="0.3">
      <c r="A1" s="28" t="s">
        <v>326</v>
      </c>
    </row>
    <row r="3" spans="1:34" s="29" customFormat="1" x14ac:dyDescent="0.25">
      <c r="A3" s="30" t="s">
        <v>0</v>
      </c>
      <c r="B3" s="127" t="s">
        <v>1</v>
      </c>
      <c r="C3" s="128" t="s">
        <v>2</v>
      </c>
      <c r="D3" s="128" t="s">
        <v>3</v>
      </c>
      <c r="E3" s="128" t="s">
        <v>4</v>
      </c>
      <c r="F3" s="128" t="s">
        <v>5</v>
      </c>
      <c r="G3" s="128" t="s">
        <v>6</v>
      </c>
      <c r="H3" s="128" t="s">
        <v>7</v>
      </c>
      <c r="I3" s="128" t="s">
        <v>8</v>
      </c>
      <c r="J3" s="128" t="s">
        <v>9</v>
      </c>
      <c r="K3" s="128" t="s">
        <v>10</v>
      </c>
      <c r="L3" s="128" t="s">
        <v>11</v>
      </c>
      <c r="M3" s="128" t="s">
        <v>12</v>
      </c>
      <c r="N3" s="128" t="s">
        <v>13</v>
      </c>
      <c r="O3" s="128" t="s">
        <v>14</v>
      </c>
      <c r="P3" s="128" t="s">
        <v>15</v>
      </c>
      <c r="Q3" s="128" t="s">
        <v>16</v>
      </c>
      <c r="R3" s="128" t="s">
        <v>17</v>
      </c>
      <c r="S3" s="128" t="s">
        <v>18</v>
      </c>
      <c r="T3" s="128" t="s">
        <v>19</v>
      </c>
      <c r="U3" s="128" t="s">
        <v>20</v>
      </c>
      <c r="V3" s="128" t="s">
        <v>21</v>
      </c>
      <c r="W3" s="128" t="s">
        <v>109</v>
      </c>
      <c r="X3" s="128" t="s">
        <v>110</v>
      </c>
      <c r="Y3" s="128" t="s">
        <v>22</v>
      </c>
      <c r="Z3" s="128" t="s">
        <v>23</v>
      </c>
      <c r="AA3" s="128" t="s">
        <v>24</v>
      </c>
      <c r="AB3" s="128" t="s">
        <v>25</v>
      </c>
      <c r="AC3" s="128" t="s">
        <v>26</v>
      </c>
      <c r="AD3" s="128" t="s">
        <v>27</v>
      </c>
      <c r="AE3" s="128" t="s">
        <v>28</v>
      </c>
      <c r="AF3" s="128" t="s">
        <v>29</v>
      </c>
      <c r="AG3" s="128" t="s">
        <v>30</v>
      </c>
      <c r="AH3" s="128" t="s">
        <v>31</v>
      </c>
    </row>
    <row r="4" spans="1:34" x14ac:dyDescent="0.25">
      <c r="A4" s="34" t="s">
        <v>275</v>
      </c>
      <c r="B4" s="35"/>
      <c r="C4" s="119">
        <v>3.5</v>
      </c>
      <c r="D4" s="111">
        <v>0.13089999999999999</v>
      </c>
      <c r="E4" s="119">
        <v>0.32</v>
      </c>
      <c r="F4" s="119">
        <v>0.24</v>
      </c>
      <c r="G4" s="119">
        <v>0.33</v>
      </c>
      <c r="H4" s="111">
        <v>0.30940000000000001</v>
      </c>
      <c r="I4" s="119">
        <v>0.56000000000000005</v>
      </c>
      <c r="J4" s="119"/>
      <c r="K4" s="119"/>
      <c r="L4" s="111">
        <v>-2.1499999999999998E-2</v>
      </c>
      <c r="M4" s="119">
        <v>0.05</v>
      </c>
      <c r="N4" s="35"/>
      <c r="O4" s="111">
        <v>2.2776000000000001</v>
      </c>
      <c r="P4" s="119">
        <v>0.15</v>
      </c>
      <c r="Q4" s="111">
        <v>1.23E-2</v>
      </c>
      <c r="R4" s="35">
        <v>0.94</v>
      </c>
      <c r="S4" s="119">
        <v>0.4</v>
      </c>
      <c r="T4" s="120">
        <v>0.25600000000000001</v>
      </c>
      <c r="U4" s="119">
        <v>0.27</v>
      </c>
      <c r="V4" s="108">
        <v>0.1373244441489298</v>
      </c>
      <c r="W4" s="35">
        <v>16.489999999999998</v>
      </c>
      <c r="X4" s="35">
        <v>5.58</v>
      </c>
      <c r="Y4" s="111">
        <v>0.41639999999999999</v>
      </c>
      <c r="Z4" s="119">
        <v>0.28999999999999998</v>
      </c>
      <c r="AA4" s="35">
        <v>0.46</v>
      </c>
      <c r="AB4" s="111">
        <v>0.19900000000000001</v>
      </c>
      <c r="AC4" s="111">
        <v>0.36080000000000001</v>
      </c>
      <c r="AD4" s="111">
        <v>8.0000000000000004E-4</v>
      </c>
      <c r="AE4" s="111">
        <v>0.41</v>
      </c>
      <c r="AF4" s="119">
        <v>0.3</v>
      </c>
      <c r="AG4" s="111">
        <v>8.5099999999999995E-2</v>
      </c>
      <c r="AH4" s="111">
        <v>0.79520000000000002</v>
      </c>
    </row>
    <row r="5" spans="1:34" ht="30" x14ac:dyDescent="0.25">
      <c r="A5" s="34" t="s">
        <v>276</v>
      </c>
      <c r="B5" s="35"/>
      <c r="C5" s="119">
        <v>2.72</v>
      </c>
      <c r="D5" s="111"/>
      <c r="E5" s="119"/>
      <c r="F5" s="119">
        <v>2.13</v>
      </c>
      <c r="G5" s="107">
        <v>3.39</v>
      </c>
      <c r="H5" s="107">
        <v>3.17</v>
      </c>
      <c r="I5" s="107"/>
      <c r="J5" s="107">
        <v>0.85</v>
      </c>
      <c r="K5" s="109">
        <v>0.01</v>
      </c>
      <c r="L5" s="111"/>
      <c r="M5" s="111"/>
      <c r="N5" s="35">
        <v>0.34</v>
      </c>
      <c r="O5" s="107">
        <v>4.1399999999999997</v>
      </c>
      <c r="P5" s="121">
        <v>2.72</v>
      </c>
      <c r="Q5" s="35"/>
      <c r="R5" s="35"/>
      <c r="S5" s="107">
        <v>2.2000000000000002</v>
      </c>
      <c r="T5" s="107">
        <v>2.29</v>
      </c>
      <c r="U5" s="107"/>
      <c r="V5" s="107"/>
      <c r="W5" s="107"/>
      <c r="X5" s="107"/>
      <c r="Y5" s="111">
        <v>0.36120000000000002</v>
      </c>
      <c r="Z5" s="119"/>
      <c r="AA5" s="35"/>
      <c r="AB5" s="107">
        <v>2.56</v>
      </c>
      <c r="AC5" s="107"/>
      <c r="AD5" s="111">
        <v>1.4825999999999999</v>
      </c>
      <c r="AE5" s="44">
        <v>4.34</v>
      </c>
      <c r="AF5" s="107"/>
      <c r="AG5" s="111">
        <v>3.6162999999999998</v>
      </c>
      <c r="AH5" s="111"/>
    </row>
    <row r="6" spans="1:34" ht="30" x14ac:dyDescent="0.25">
      <c r="A6" s="34" t="s">
        <v>277</v>
      </c>
      <c r="B6" s="35">
        <v>0.01</v>
      </c>
      <c r="C6" s="35"/>
      <c r="D6" s="44">
        <v>2.35</v>
      </c>
      <c r="E6" s="44">
        <v>4.0599999999999996</v>
      </c>
      <c r="F6" s="119"/>
      <c r="G6" s="35"/>
      <c r="H6" s="35"/>
      <c r="I6" s="119">
        <v>3.51</v>
      </c>
      <c r="J6" s="35"/>
      <c r="K6" s="35"/>
      <c r="L6" s="44">
        <v>0.33</v>
      </c>
      <c r="M6" s="107">
        <v>2.87</v>
      </c>
      <c r="N6" s="35"/>
      <c r="O6" s="35"/>
      <c r="P6" s="67"/>
      <c r="Q6" s="35">
        <v>3</v>
      </c>
      <c r="R6" s="35">
        <v>0.61</v>
      </c>
      <c r="S6" s="35"/>
      <c r="T6" s="44"/>
      <c r="U6" s="35">
        <v>2.95</v>
      </c>
      <c r="V6" s="44">
        <v>9.2260890956733359</v>
      </c>
      <c r="W6" s="35"/>
      <c r="X6" s="35">
        <v>3.72</v>
      </c>
      <c r="Y6" s="111"/>
      <c r="Z6" s="35">
        <v>3.61</v>
      </c>
      <c r="AA6" s="35">
        <v>3.95</v>
      </c>
      <c r="AB6" s="35"/>
      <c r="AC6" s="35">
        <v>2.37</v>
      </c>
      <c r="AD6" s="111"/>
      <c r="AE6" s="111"/>
      <c r="AF6" s="44">
        <v>3.53</v>
      </c>
      <c r="AG6" s="35"/>
      <c r="AH6" s="35">
        <v>3.08</v>
      </c>
    </row>
    <row r="7" spans="1:34" x14ac:dyDescent="0.25">
      <c r="A7" s="34" t="s">
        <v>278</v>
      </c>
      <c r="B7" s="111">
        <v>24.662600000000001</v>
      </c>
      <c r="C7" s="35"/>
      <c r="D7" s="108">
        <v>0.21529999999999999</v>
      </c>
      <c r="E7" s="119">
        <v>0.04</v>
      </c>
      <c r="F7" s="119"/>
      <c r="G7" s="35"/>
      <c r="H7" s="35"/>
      <c r="I7" s="119"/>
      <c r="J7" s="119"/>
      <c r="K7" s="35"/>
      <c r="L7" s="111">
        <v>3.2599999999999997E-2</v>
      </c>
      <c r="M7" s="119">
        <v>0.11</v>
      </c>
      <c r="N7" s="35"/>
      <c r="O7" s="35"/>
      <c r="P7" s="67"/>
      <c r="Q7" s="108">
        <v>0.1123</v>
      </c>
      <c r="R7" s="119">
        <v>0.08</v>
      </c>
      <c r="S7" s="35">
        <v>0.14000000000000001</v>
      </c>
      <c r="T7" s="44"/>
      <c r="U7" s="119">
        <v>0.1</v>
      </c>
      <c r="V7" s="108">
        <v>-0.53413268276161341</v>
      </c>
      <c r="W7" s="35">
        <v>1.63</v>
      </c>
      <c r="X7" s="35">
        <v>136.55000000000001</v>
      </c>
      <c r="Y7" s="111"/>
      <c r="Z7" s="119">
        <v>0.13</v>
      </c>
      <c r="AA7" s="35">
        <v>0.24</v>
      </c>
      <c r="AB7" s="35"/>
      <c r="AC7" s="111">
        <v>0.36020000000000002</v>
      </c>
      <c r="AD7" s="111"/>
      <c r="AE7" s="111"/>
      <c r="AF7" s="119">
        <v>0.3</v>
      </c>
      <c r="AG7" s="35"/>
      <c r="AH7" s="111">
        <v>1.1215999999999999</v>
      </c>
    </row>
    <row r="8" spans="1:34" ht="30" x14ac:dyDescent="0.25">
      <c r="A8" s="34" t="s">
        <v>279</v>
      </c>
      <c r="B8" s="35"/>
      <c r="C8" s="119">
        <v>-0.39</v>
      </c>
      <c r="D8" s="111"/>
      <c r="E8" s="35"/>
      <c r="F8" s="119">
        <v>0.26</v>
      </c>
      <c r="G8" s="111">
        <v>-0.15</v>
      </c>
      <c r="H8" s="111">
        <v>0.2056</v>
      </c>
      <c r="I8" s="119">
        <v>0.09</v>
      </c>
      <c r="J8" s="119"/>
      <c r="K8" s="119"/>
      <c r="L8" s="111"/>
      <c r="M8" s="119"/>
      <c r="N8" s="107">
        <v>98.61</v>
      </c>
      <c r="O8" s="111">
        <v>0.18609999999999999</v>
      </c>
      <c r="P8" s="119">
        <v>0.22</v>
      </c>
      <c r="Q8" s="35"/>
      <c r="R8" s="119"/>
      <c r="S8" s="35"/>
      <c r="T8" s="120">
        <v>2.1999999999999999E-2</v>
      </c>
      <c r="U8" s="119"/>
      <c r="V8" s="35"/>
      <c r="W8" s="35">
        <v>39.82</v>
      </c>
      <c r="X8" s="35"/>
      <c r="Y8" s="111">
        <v>4.3E-3</v>
      </c>
      <c r="Z8" s="35"/>
      <c r="AA8" s="35"/>
      <c r="AB8" s="111">
        <v>0.57999999999999996</v>
      </c>
      <c r="AC8" s="111"/>
      <c r="AD8" s="111">
        <v>0.24249999999999999</v>
      </c>
      <c r="AE8" s="111">
        <v>0.22</v>
      </c>
      <c r="AF8" s="119"/>
      <c r="AG8" s="111">
        <v>0.26279999999999998</v>
      </c>
      <c r="AH8" s="35"/>
    </row>
    <row r="9" spans="1:34" x14ac:dyDescent="0.25">
      <c r="A9" s="34" t="s">
        <v>280</v>
      </c>
      <c r="B9" s="111">
        <v>0.92769999999999997</v>
      </c>
      <c r="C9" s="119">
        <v>0.94</v>
      </c>
      <c r="D9" s="111">
        <v>0.22559999999999999</v>
      </c>
      <c r="E9" s="119">
        <v>0.84</v>
      </c>
      <c r="F9" s="119">
        <v>0.71</v>
      </c>
      <c r="G9" s="119">
        <v>0.72</v>
      </c>
      <c r="H9" s="111">
        <v>0.77590000000000003</v>
      </c>
      <c r="I9" s="119">
        <v>0.94</v>
      </c>
      <c r="J9" s="119">
        <v>0.64</v>
      </c>
      <c r="K9" s="119">
        <v>0.14000000000000001</v>
      </c>
      <c r="L9" s="111">
        <v>0.67620000000000002</v>
      </c>
      <c r="M9" s="119">
        <v>0.77</v>
      </c>
      <c r="N9" s="111">
        <v>0.72499999999999998</v>
      </c>
      <c r="O9" s="111">
        <v>0.46689999999999998</v>
      </c>
      <c r="P9" s="119">
        <v>0.62</v>
      </c>
      <c r="Q9" s="111">
        <v>0.6401</v>
      </c>
      <c r="R9" s="119">
        <v>0.86</v>
      </c>
      <c r="S9" s="119">
        <v>0.84</v>
      </c>
      <c r="T9" s="120">
        <v>0.67</v>
      </c>
      <c r="U9" s="119">
        <v>0.78</v>
      </c>
      <c r="V9" s="108">
        <v>0.69272250525868473</v>
      </c>
      <c r="W9" s="35">
        <v>78.92</v>
      </c>
      <c r="X9" s="35">
        <v>82.91</v>
      </c>
      <c r="Y9" s="111">
        <v>0.81799999999999995</v>
      </c>
      <c r="Z9" s="119">
        <v>0.62</v>
      </c>
      <c r="AA9" s="44">
        <v>0.74</v>
      </c>
      <c r="AB9" s="111">
        <v>0.76700000000000002</v>
      </c>
      <c r="AC9" s="111">
        <v>0.48599999999999999</v>
      </c>
      <c r="AD9" s="111">
        <v>0.9375</v>
      </c>
      <c r="AE9" s="111">
        <v>0.77</v>
      </c>
      <c r="AF9" s="119">
        <v>0.71</v>
      </c>
      <c r="AG9" s="111">
        <v>0.70020000000000004</v>
      </c>
      <c r="AH9" s="111">
        <v>0.59489999999999998</v>
      </c>
    </row>
    <row r="10" spans="1:34" x14ac:dyDescent="0.25">
      <c r="A10" s="34" t="s">
        <v>281</v>
      </c>
      <c r="B10" s="111">
        <v>-8.0000000000000002E-3</v>
      </c>
      <c r="C10" s="119">
        <v>0.08</v>
      </c>
      <c r="D10" s="111">
        <v>-0.30349999999999999</v>
      </c>
      <c r="E10" s="119">
        <v>0.08</v>
      </c>
      <c r="F10" s="119">
        <v>0.05</v>
      </c>
      <c r="G10" s="119">
        <v>0.05</v>
      </c>
      <c r="H10" s="111">
        <v>1.3299999999999999E-2</v>
      </c>
      <c r="I10" s="119">
        <v>0.12</v>
      </c>
      <c r="J10" s="119">
        <v>-0.11</v>
      </c>
      <c r="K10" s="119">
        <v>-3.32</v>
      </c>
      <c r="L10" s="108">
        <v>-6.93E-2</v>
      </c>
      <c r="M10" s="119">
        <v>0</v>
      </c>
      <c r="N10" s="111">
        <v>1.67E-2</v>
      </c>
      <c r="O10" s="111">
        <v>-7.7700000000000005E-2</v>
      </c>
      <c r="P10" s="119">
        <v>-0.04</v>
      </c>
      <c r="Q10" s="111">
        <v>3.1E-2</v>
      </c>
      <c r="R10" s="119">
        <v>0.09</v>
      </c>
      <c r="S10" s="119">
        <v>0.08</v>
      </c>
      <c r="T10" s="111">
        <v>-3.2000000000000001E-2</v>
      </c>
      <c r="U10" s="119">
        <v>0.04</v>
      </c>
      <c r="V10" s="108">
        <v>9.5975959653660556E-2</v>
      </c>
      <c r="W10" s="35">
        <v>8.6999999999999993</v>
      </c>
      <c r="X10" s="35">
        <v>6.35</v>
      </c>
      <c r="Y10" s="111">
        <v>6.83E-2</v>
      </c>
      <c r="Z10" s="119">
        <v>-0.02</v>
      </c>
      <c r="AA10" s="35">
        <v>-0.05</v>
      </c>
      <c r="AB10" s="111">
        <v>2.5999999999999999E-2</v>
      </c>
      <c r="AC10" s="111">
        <v>-8.1500000000000003E-2</v>
      </c>
      <c r="AD10" s="111">
        <v>2.86E-2</v>
      </c>
      <c r="AE10" s="111">
        <v>0.04</v>
      </c>
      <c r="AF10" s="119">
        <v>0.04</v>
      </c>
      <c r="AG10" s="122">
        <v>5.3900000000000003E-2</v>
      </c>
      <c r="AH10" s="111">
        <v>-3.9199999999999999E-2</v>
      </c>
    </row>
    <row r="11" spans="1:34" ht="30" x14ac:dyDescent="0.25">
      <c r="A11" s="34" t="s">
        <v>282</v>
      </c>
      <c r="B11" s="111">
        <v>15.216699999999999</v>
      </c>
      <c r="C11" s="119">
        <v>0.93</v>
      </c>
      <c r="D11" s="111">
        <v>2.18E-2</v>
      </c>
      <c r="E11" s="119">
        <v>0.36</v>
      </c>
      <c r="F11" s="119">
        <v>0.21</v>
      </c>
      <c r="G11" s="119">
        <v>0.27</v>
      </c>
      <c r="H11" s="111">
        <v>0.24740000000000001</v>
      </c>
      <c r="I11" s="119">
        <v>0.78</v>
      </c>
      <c r="J11" s="119">
        <v>0.61</v>
      </c>
      <c r="K11" s="119">
        <v>14.47</v>
      </c>
      <c r="L11" s="108">
        <v>0.16869999999999999</v>
      </c>
      <c r="M11" s="119">
        <v>0.3</v>
      </c>
      <c r="N11" s="111">
        <v>0.41880000000000001</v>
      </c>
      <c r="O11" s="111">
        <v>0.2137</v>
      </c>
      <c r="P11" s="119">
        <v>0.23</v>
      </c>
      <c r="Q11" s="111">
        <v>0.1867</v>
      </c>
      <c r="R11" s="119">
        <v>0.43</v>
      </c>
      <c r="S11" s="119">
        <v>0.5</v>
      </c>
      <c r="T11" s="120">
        <v>0.34799999999999998</v>
      </c>
      <c r="U11" s="119">
        <v>0.5</v>
      </c>
      <c r="V11" s="108">
        <v>0.26788810608885683</v>
      </c>
      <c r="W11" s="35">
        <v>22.4</v>
      </c>
      <c r="X11" s="35">
        <v>29.32</v>
      </c>
      <c r="Y11" s="111">
        <v>0.373</v>
      </c>
      <c r="Z11" s="119">
        <v>0.23</v>
      </c>
      <c r="AA11" s="35">
        <v>0.53</v>
      </c>
      <c r="AB11" s="111">
        <v>0.27200000000000002</v>
      </c>
      <c r="AC11" s="111">
        <v>0.24640000000000001</v>
      </c>
      <c r="AD11" s="111">
        <v>0.14319999999999999</v>
      </c>
      <c r="AE11" s="44">
        <v>0.33</v>
      </c>
      <c r="AF11" s="119">
        <v>0.28999999999999998</v>
      </c>
      <c r="AG11" s="122">
        <v>0.20660000000000001</v>
      </c>
      <c r="AH11" s="111">
        <v>0.1603</v>
      </c>
    </row>
    <row r="12" spans="1:34" ht="30" x14ac:dyDescent="0.25">
      <c r="A12" s="34" t="s">
        <v>283</v>
      </c>
      <c r="B12" s="111">
        <v>16.404800000000002</v>
      </c>
      <c r="C12" s="35"/>
      <c r="D12" s="111">
        <v>9.6600000000000005E-2</v>
      </c>
      <c r="E12" s="119">
        <v>0.43</v>
      </c>
      <c r="F12" s="119">
        <v>0.3</v>
      </c>
      <c r="G12" s="35"/>
      <c r="H12" s="35"/>
      <c r="I12" s="35"/>
      <c r="J12" s="119">
        <v>0.96</v>
      </c>
      <c r="K12" s="119"/>
      <c r="L12" s="108">
        <v>0.24940000000000001</v>
      </c>
      <c r="M12" s="119">
        <v>0.38</v>
      </c>
      <c r="N12" s="111">
        <v>0.52039999999999997</v>
      </c>
      <c r="O12" s="111">
        <v>0.45079999999999998</v>
      </c>
      <c r="P12" s="119">
        <v>0.36</v>
      </c>
      <c r="Q12" s="111">
        <v>0.2878</v>
      </c>
      <c r="R12" s="119">
        <v>0.49</v>
      </c>
      <c r="S12" s="119">
        <v>0.57999999999999996</v>
      </c>
      <c r="T12" s="120">
        <v>0.48899999999999999</v>
      </c>
      <c r="U12" s="119">
        <v>0.64</v>
      </c>
      <c r="V12" s="108">
        <v>0.37954513654904998</v>
      </c>
      <c r="W12" s="35">
        <v>26.89</v>
      </c>
      <c r="X12" s="35">
        <v>34.32</v>
      </c>
      <c r="Y12" s="35"/>
      <c r="Z12" s="119">
        <v>0.36</v>
      </c>
      <c r="AA12" s="35">
        <v>0.71</v>
      </c>
      <c r="AB12" s="111">
        <v>0.35099999999999998</v>
      </c>
      <c r="AC12" s="111">
        <v>0.50570000000000004</v>
      </c>
      <c r="AD12" s="111">
        <v>0.15210000000000001</v>
      </c>
      <c r="AE12" s="35"/>
      <c r="AF12" s="119">
        <v>0.4</v>
      </c>
      <c r="AG12" s="35"/>
      <c r="AH12" s="111">
        <v>0.26910000000000001</v>
      </c>
    </row>
    <row r="13" spans="1:34" ht="30" x14ac:dyDescent="0.25">
      <c r="A13" s="34" t="s">
        <v>284</v>
      </c>
      <c r="B13" s="111">
        <v>0.76700000000000002</v>
      </c>
      <c r="C13" s="35"/>
      <c r="D13" s="111">
        <v>1.0223</v>
      </c>
      <c r="E13" s="119">
        <v>0.62</v>
      </c>
      <c r="F13" s="119">
        <v>0.67</v>
      </c>
      <c r="G13" s="35"/>
      <c r="H13" s="35"/>
      <c r="I13" s="35"/>
      <c r="J13" s="119">
        <v>0.3</v>
      </c>
      <c r="K13" s="119"/>
      <c r="L13" s="108">
        <v>1.3567</v>
      </c>
      <c r="M13" s="119">
        <v>0.76</v>
      </c>
      <c r="N13" s="111">
        <v>0.9395</v>
      </c>
      <c r="O13" s="111">
        <v>0.74360000000000004</v>
      </c>
      <c r="P13" s="119">
        <v>0.77</v>
      </c>
      <c r="Q13" s="111">
        <v>0.82889999999999997</v>
      </c>
      <c r="R13" s="119">
        <v>0.73</v>
      </c>
      <c r="S13" s="119">
        <v>0.7</v>
      </c>
      <c r="T13" s="120">
        <v>0.83</v>
      </c>
      <c r="U13" s="119">
        <v>0.5</v>
      </c>
      <c r="V13" s="108">
        <v>1.1423791859106802</v>
      </c>
      <c r="W13" s="35">
        <v>85.66</v>
      </c>
      <c r="X13" s="35">
        <v>85.39</v>
      </c>
      <c r="Y13" s="35"/>
      <c r="Z13" s="119">
        <v>0.85</v>
      </c>
      <c r="AA13" s="35">
        <v>0.52</v>
      </c>
      <c r="AB13" s="111">
        <v>0.80400000000000005</v>
      </c>
      <c r="AC13" s="111">
        <v>0.7147</v>
      </c>
      <c r="AD13" s="111">
        <v>0.9375</v>
      </c>
      <c r="AE13" s="35"/>
      <c r="AF13" s="119">
        <v>0.71</v>
      </c>
      <c r="AG13" s="35"/>
      <c r="AH13" s="111">
        <v>0.56299999999999994</v>
      </c>
    </row>
    <row r="14" spans="1:34" x14ac:dyDescent="0.25">
      <c r="A14" s="34" t="s">
        <v>285</v>
      </c>
      <c r="B14" s="111">
        <v>17.171800000000001</v>
      </c>
      <c r="C14" s="119">
        <v>1.88</v>
      </c>
      <c r="D14" s="111">
        <v>0.81059999999999999</v>
      </c>
      <c r="E14" s="119">
        <v>0.99</v>
      </c>
      <c r="F14" s="119">
        <v>0.92</v>
      </c>
      <c r="G14" s="119">
        <v>1.1599999999999999</v>
      </c>
      <c r="H14" s="111">
        <v>1.0079</v>
      </c>
      <c r="I14" s="119">
        <v>1.28</v>
      </c>
      <c r="J14" s="119">
        <v>0.9</v>
      </c>
      <c r="K14" s="119">
        <v>103.65</v>
      </c>
      <c r="L14" s="108">
        <v>1.5308999999999999</v>
      </c>
      <c r="M14" s="119">
        <v>1.07</v>
      </c>
      <c r="N14" s="111">
        <v>1.4426000000000001</v>
      </c>
      <c r="O14" s="111">
        <v>0.97109999999999996</v>
      </c>
      <c r="P14" s="119">
        <v>1</v>
      </c>
      <c r="Q14" s="111">
        <v>1.0551999999999999</v>
      </c>
      <c r="R14" s="119">
        <v>1.2</v>
      </c>
      <c r="S14" s="119">
        <v>1.26</v>
      </c>
      <c r="T14" s="120">
        <v>1.202</v>
      </c>
      <c r="U14" s="119">
        <v>1.04</v>
      </c>
      <c r="V14" s="108">
        <v>1.4923929188488634</v>
      </c>
      <c r="W14" s="35">
        <v>111.2</v>
      </c>
      <c r="X14" s="35">
        <v>118.6</v>
      </c>
      <c r="Y14" s="111">
        <v>1.0166999999999999</v>
      </c>
      <c r="Z14" s="119">
        <v>1.1100000000000001</v>
      </c>
      <c r="AA14" s="44">
        <v>1</v>
      </c>
      <c r="AB14" s="111">
        <v>1.089</v>
      </c>
      <c r="AC14" s="111">
        <v>0.96430000000000005</v>
      </c>
      <c r="AD14" s="111">
        <v>1.0818000000000001</v>
      </c>
      <c r="AE14" s="44">
        <v>0.93</v>
      </c>
      <c r="AF14" s="119">
        <v>1.03</v>
      </c>
      <c r="AG14" s="133">
        <v>1.2073</v>
      </c>
      <c r="AH14" s="111">
        <v>0.73250000000000004</v>
      </c>
    </row>
    <row r="15" spans="1:34" ht="30" x14ac:dyDescent="0.25">
      <c r="A15" s="34" t="s">
        <v>286</v>
      </c>
      <c r="B15" s="35">
        <v>0.96</v>
      </c>
      <c r="C15" s="119">
        <v>0.6</v>
      </c>
      <c r="D15" s="44">
        <v>2.6</v>
      </c>
      <c r="E15" s="107">
        <v>0.57999999999999996</v>
      </c>
      <c r="F15" s="119">
        <v>1.42</v>
      </c>
      <c r="G15" s="44">
        <v>2.1</v>
      </c>
      <c r="H15" s="35">
        <v>1.64</v>
      </c>
      <c r="I15" s="119">
        <v>0.77</v>
      </c>
      <c r="J15" s="44">
        <v>0.65</v>
      </c>
      <c r="K15" s="35">
        <v>1.0900000000000001</v>
      </c>
      <c r="L15" s="123">
        <v>7.07</v>
      </c>
      <c r="M15" s="107">
        <v>1.62</v>
      </c>
      <c r="N15" s="35">
        <v>0.99</v>
      </c>
      <c r="O15" s="35">
        <v>1.5</v>
      </c>
      <c r="P15" s="35">
        <v>2.59</v>
      </c>
      <c r="Q15" s="35">
        <v>1.55</v>
      </c>
      <c r="R15" s="35">
        <v>3.15</v>
      </c>
      <c r="S15" s="35">
        <v>1.42</v>
      </c>
      <c r="T15" s="44">
        <v>2.42</v>
      </c>
      <c r="U15" s="35">
        <v>0.6</v>
      </c>
      <c r="V15" s="44">
        <v>1.6856231779312552</v>
      </c>
      <c r="W15" s="35">
        <v>1.42</v>
      </c>
      <c r="X15" s="35">
        <v>1.53</v>
      </c>
      <c r="Y15" s="111">
        <v>1.7331000000000001</v>
      </c>
      <c r="Z15" s="44">
        <v>1.93</v>
      </c>
      <c r="AA15" s="35">
        <v>0.62</v>
      </c>
      <c r="AB15" s="35">
        <v>1.6</v>
      </c>
      <c r="AC15" s="35">
        <v>2.0299999999999998</v>
      </c>
      <c r="AD15" s="111">
        <v>3.3711000000000002</v>
      </c>
      <c r="AE15" s="44">
        <v>0.66</v>
      </c>
      <c r="AF15" s="35">
        <v>1.24</v>
      </c>
      <c r="AG15" s="133">
        <v>1.6423000000000001</v>
      </c>
      <c r="AH15" s="35">
        <v>0.79</v>
      </c>
    </row>
    <row r="16" spans="1:34" x14ac:dyDescent="0.25">
      <c r="A16" s="34" t="s">
        <v>287</v>
      </c>
      <c r="B16" s="35">
        <v>16.850000000000001</v>
      </c>
      <c r="C16" s="119">
        <v>-1.38</v>
      </c>
      <c r="D16" s="44">
        <v>0.19</v>
      </c>
      <c r="E16" s="44">
        <v>-0.01</v>
      </c>
      <c r="F16" s="119">
        <v>0.05</v>
      </c>
      <c r="G16" s="44">
        <v>-0.18</v>
      </c>
      <c r="H16" s="35">
        <v>-0.04</v>
      </c>
      <c r="I16" s="119">
        <v>-0.46</v>
      </c>
      <c r="J16" s="44">
        <v>-0.51</v>
      </c>
      <c r="K16" s="35">
        <v>-6756.07</v>
      </c>
      <c r="L16" s="108">
        <v>-0.66869999999999996</v>
      </c>
      <c r="M16" s="107">
        <v>-0.12</v>
      </c>
      <c r="N16" s="35">
        <v>-0.5</v>
      </c>
      <c r="O16" s="35">
        <v>-0.01</v>
      </c>
      <c r="P16" s="35">
        <v>-0.03</v>
      </c>
      <c r="Q16" s="111">
        <v>-8.4400000000000003E-2</v>
      </c>
      <c r="R16" s="44">
        <v>-0.41</v>
      </c>
      <c r="S16" s="35">
        <v>-0.38</v>
      </c>
      <c r="T16" s="107">
        <v>-0.25</v>
      </c>
      <c r="U16" s="35">
        <v>-0.05</v>
      </c>
      <c r="V16" s="44">
        <v>-0.49855817870837771</v>
      </c>
      <c r="W16" s="35">
        <v>-0.13</v>
      </c>
      <c r="X16" s="35">
        <v>-0.2</v>
      </c>
      <c r="Y16" s="111">
        <v>-0.28289999999999998</v>
      </c>
      <c r="Z16" s="44">
        <v>-0.14000000000000001</v>
      </c>
      <c r="AA16" s="35">
        <v>-0.11</v>
      </c>
      <c r="AB16" s="35">
        <v>-0.1</v>
      </c>
      <c r="AC16" s="35">
        <v>0.05</v>
      </c>
      <c r="AD16" s="111">
        <v>-9.1399999999999995E-2</v>
      </c>
      <c r="AE16" s="111">
        <v>0.28000000000000003</v>
      </c>
      <c r="AF16" s="35">
        <v>-0.08</v>
      </c>
      <c r="AG16" s="133">
        <v>-0.19769999999999999</v>
      </c>
      <c r="AH16" s="35">
        <v>0.24</v>
      </c>
    </row>
    <row r="17" spans="1:34" x14ac:dyDescent="0.25">
      <c r="A17" s="34" t="s">
        <v>288</v>
      </c>
      <c r="B17" s="111">
        <v>-16.850000000000001</v>
      </c>
      <c r="C17" s="119">
        <v>-1.31</v>
      </c>
      <c r="D17" s="111">
        <v>0.39800000000000002</v>
      </c>
      <c r="E17" s="109">
        <v>0.05</v>
      </c>
      <c r="F17" s="119">
        <v>0.19</v>
      </c>
      <c r="G17" s="119">
        <v>0.01</v>
      </c>
      <c r="H17" s="111">
        <v>0.1099</v>
      </c>
      <c r="I17" s="119">
        <v>-0.4</v>
      </c>
      <c r="J17" s="119">
        <v>-0.48</v>
      </c>
      <c r="K17" s="119">
        <v>6753.89</v>
      </c>
      <c r="L17" s="108">
        <v>-0.155</v>
      </c>
      <c r="M17" s="119">
        <v>0.03</v>
      </c>
      <c r="N17" s="111">
        <v>-1.1042000000000001</v>
      </c>
      <c r="O17" s="111">
        <v>0.1573</v>
      </c>
      <c r="P17" s="119">
        <v>0.13</v>
      </c>
      <c r="Q17" s="111">
        <v>3.8300000000000001E-2</v>
      </c>
      <c r="R17" s="119">
        <v>-0.32</v>
      </c>
      <c r="S17" s="119">
        <v>-0.28999999999999998</v>
      </c>
      <c r="T17" s="111">
        <v>-3.4000000000000002E-2</v>
      </c>
      <c r="U17" s="120">
        <v>4.0000000000000001E-3</v>
      </c>
      <c r="V17" s="108">
        <v>-0.25113298553205943</v>
      </c>
      <c r="W17" s="35">
        <v>5.09</v>
      </c>
      <c r="X17" s="35">
        <v>14.22</v>
      </c>
      <c r="Y17" s="111">
        <v>-9.5200000000000007E-2</v>
      </c>
      <c r="Z17" s="119">
        <v>0.04</v>
      </c>
      <c r="AA17" s="35">
        <v>-0.04</v>
      </c>
      <c r="AB17" s="111">
        <v>3.5000000000000003E-2</v>
      </c>
      <c r="AC17" s="111">
        <v>0.20469999999999999</v>
      </c>
      <c r="AD17" s="111">
        <v>0.27010000000000001</v>
      </c>
      <c r="AE17" s="44">
        <v>0.05</v>
      </c>
      <c r="AF17" s="119">
        <v>0.03</v>
      </c>
      <c r="AG17" s="133">
        <v>4.2200000000000001E-2</v>
      </c>
      <c r="AH17" s="111">
        <v>0.32700000000000001</v>
      </c>
    </row>
    <row r="18" spans="1:34" x14ac:dyDescent="0.25">
      <c r="A18" s="34" t="s">
        <v>289</v>
      </c>
      <c r="B18" s="35">
        <v>84.79</v>
      </c>
      <c r="C18" s="119">
        <v>0.22</v>
      </c>
      <c r="D18" s="44">
        <v>1.34</v>
      </c>
      <c r="E18" s="107">
        <v>0.54</v>
      </c>
      <c r="F18" s="119">
        <v>0.27</v>
      </c>
      <c r="G18" s="35">
        <v>0.24</v>
      </c>
      <c r="H18" s="35">
        <v>0.17</v>
      </c>
      <c r="I18" s="119">
        <v>0.45</v>
      </c>
      <c r="J18" s="123">
        <v>2.16</v>
      </c>
      <c r="K18" s="109">
        <v>217.76</v>
      </c>
      <c r="L18" s="123">
        <v>0.19</v>
      </c>
      <c r="M18" s="107">
        <v>0.1</v>
      </c>
      <c r="N18" s="111">
        <v>0.54379999999999995</v>
      </c>
      <c r="O18" s="35">
        <v>0.32</v>
      </c>
      <c r="P18" s="35">
        <v>0.1</v>
      </c>
      <c r="Q18" s="111">
        <v>0.1</v>
      </c>
      <c r="R18" s="44">
        <v>0.14000000000000001</v>
      </c>
      <c r="S18" s="35">
        <v>0.34</v>
      </c>
      <c r="T18" s="44">
        <v>0.25</v>
      </c>
      <c r="U18" s="35">
        <v>0.75</v>
      </c>
      <c r="V18" s="44">
        <v>0.14809316528656433</v>
      </c>
      <c r="W18" s="35">
        <v>0.36</v>
      </c>
      <c r="X18" s="35">
        <v>0.27</v>
      </c>
      <c r="Y18" s="111">
        <v>0.312</v>
      </c>
      <c r="Z18" s="44">
        <v>0.33</v>
      </c>
      <c r="AA18" s="35">
        <v>0.33</v>
      </c>
      <c r="AB18" s="35">
        <v>0.3</v>
      </c>
      <c r="AC18" s="35">
        <v>0.28999999999999998</v>
      </c>
      <c r="AD18" s="111">
        <v>0.2011</v>
      </c>
      <c r="AE18" s="44">
        <v>0.32</v>
      </c>
      <c r="AF18" s="35">
        <v>0.17</v>
      </c>
      <c r="AG18" s="134">
        <v>0.16420000000000001</v>
      </c>
      <c r="AH18" s="35">
        <v>0.45</v>
      </c>
    </row>
    <row r="19" spans="1:34" x14ac:dyDescent="0.25">
      <c r="A19" s="34" t="s">
        <v>290</v>
      </c>
      <c r="B19" s="111">
        <v>-13.87</v>
      </c>
      <c r="C19" s="119">
        <v>-0.83</v>
      </c>
      <c r="D19" s="111">
        <v>0.33439999999999998</v>
      </c>
      <c r="E19" s="108">
        <v>1.06E-2</v>
      </c>
      <c r="F19" s="119">
        <v>0.14000000000000001</v>
      </c>
      <c r="G19" s="119">
        <v>-7.0000000000000007E-2</v>
      </c>
      <c r="H19" s="111">
        <v>7.5999999999999998E-2</v>
      </c>
      <c r="I19" s="119">
        <v>-0.32</v>
      </c>
      <c r="J19" s="119">
        <v>-0.16</v>
      </c>
      <c r="K19" s="119">
        <v>-10107.59</v>
      </c>
      <c r="L19" s="108">
        <v>8.8599999999999998E-2</v>
      </c>
      <c r="M19" s="109">
        <v>0.05</v>
      </c>
      <c r="N19" s="111">
        <v>-0.92959999999999998</v>
      </c>
      <c r="O19" s="111">
        <v>0.1168</v>
      </c>
      <c r="P19" s="119">
        <v>0.12</v>
      </c>
      <c r="Q19" s="111">
        <v>5.1799999999999999E-2</v>
      </c>
      <c r="R19" s="119">
        <v>-0.2</v>
      </c>
      <c r="S19" s="119">
        <v>-0.27</v>
      </c>
      <c r="T19" s="111">
        <v>1.2999999999999999E-2</v>
      </c>
      <c r="U19" s="119">
        <v>0.04</v>
      </c>
      <c r="V19" s="108">
        <v>-0.18933838057840469</v>
      </c>
      <c r="W19" s="35">
        <v>10.5</v>
      </c>
      <c r="X19" s="35">
        <v>15.06</v>
      </c>
      <c r="Y19" s="111">
        <v>1.46E-2</v>
      </c>
      <c r="Z19" s="119">
        <v>0.05</v>
      </c>
      <c r="AA19" s="35">
        <v>-0.02</v>
      </c>
      <c r="AB19" s="111">
        <v>4.1000000000000002E-2</v>
      </c>
      <c r="AC19" s="111">
        <v>0.2291</v>
      </c>
      <c r="AD19" s="111">
        <v>0.20230000000000001</v>
      </c>
      <c r="AE19" s="44">
        <v>0.05</v>
      </c>
      <c r="AF19" s="119">
        <v>0.04</v>
      </c>
      <c r="AG19" s="133">
        <v>8.09E-2</v>
      </c>
      <c r="AH19" s="111">
        <v>0.2155</v>
      </c>
    </row>
    <row r="20" spans="1:34" x14ac:dyDescent="0.25">
      <c r="A20" s="34" t="s">
        <v>291</v>
      </c>
      <c r="B20" s="111">
        <v>-9.5100000000000004E-2</v>
      </c>
      <c r="C20" s="119">
        <v>-2.12</v>
      </c>
      <c r="D20" s="111">
        <v>0.17710000000000001</v>
      </c>
      <c r="E20" s="111">
        <v>3.61E-2</v>
      </c>
      <c r="F20" s="119">
        <v>0.21</v>
      </c>
      <c r="G20" s="119">
        <v>-0.18</v>
      </c>
      <c r="H20" s="111">
        <v>0.18720000000000001</v>
      </c>
      <c r="I20" s="119">
        <v>-1.06</v>
      </c>
      <c r="J20" s="120">
        <v>-0.08</v>
      </c>
      <c r="K20" s="119">
        <v>-0.19</v>
      </c>
      <c r="L20" s="108">
        <v>1.9900000000000001E-2</v>
      </c>
      <c r="M20" s="109">
        <v>0.12</v>
      </c>
      <c r="N20" s="111">
        <v>-0.25629999999999997</v>
      </c>
      <c r="O20" s="111">
        <v>0.22919999999999999</v>
      </c>
      <c r="P20" s="119">
        <v>0.19</v>
      </c>
      <c r="Q20" s="111">
        <v>0.10100000000000001</v>
      </c>
      <c r="R20" s="119">
        <v>-0.11</v>
      </c>
      <c r="S20" s="119">
        <v>-0.41</v>
      </c>
      <c r="T20" s="111">
        <v>2.1000000000000001E-2</v>
      </c>
      <c r="U20" s="119">
        <v>0.09</v>
      </c>
      <c r="V20" s="108">
        <v>-1.2329523808687546</v>
      </c>
      <c r="W20" s="35">
        <v>16.09</v>
      </c>
      <c r="X20" s="35">
        <v>47.83</v>
      </c>
      <c r="Y20" s="111">
        <v>4.7999999999999996E-3</v>
      </c>
      <c r="Z20" s="119">
        <v>0.12</v>
      </c>
      <c r="AA20" s="35">
        <v>-0.06</v>
      </c>
      <c r="AB20" s="111">
        <v>8.1299999999999997E-2</v>
      </c>
      <c r="AC20" s="111">
        <v>0.26479999999999998</v>
      </c>
      <c r="AD20" s="111">
        <v>0.2823</v>
      </c>
      <c r="AE20" s="44">
        <v>0.18</v>
      </c>
      <c r="AF20" s="119">
        <v>0.1</v>
      </c>
      <c r="AG20" s="134">
        <v>0.20899999999999999</v>
      </c>
      <c r="AH20" s="111">
        <v>0.39529999999999998</v>
      </c>
    </row>
    <row r="21" spans="1:34" ht="45" x14ac:dyDescent="0.25">
      <c r="A21" s="34" t="s">
        <v>292</v>
      </c>
      <c r="B21" s="35">
        <v>2.48</v>
      </c>
      <c r="C21" s="119">
        <v>1.67</v>
      </c>
      <c r="D21" s="44">
        <v>2.0299999999999998</v>
      </c>
      <c r="E21" s="107">
        <v>1.74</v>
      </c>
      <c r="F21" s="119">
        <v>2.76</v>
      </c>
      <c r="G21" s="44">
        <v>1.86</v>
      </c>
      <c r="H21" s="35">
        <v>1.61</v>
      </c>
      <c r="I21" s="119">
        <v>2.06</v>
      </c>
      <c r="J21" s="44">
        <v>3.34</v>
      </c>
      <c r="K21" s="35">
        <v>2.81</v>
      </c>
      <c r="L21" s="123">
        <v>9.89</v>
      </c>
      <c r="M21" s="107">
        <v>1.69</v>
      </c>
      <c r="N21" s="35">
        <v>5.48</v>
      </c>
      <c r="O21" s="35">
        <v>2.06</v>
      </c>
      <c r="P21" s="35">
        <v>2.0499999999999998</v>
      </c>
      <c r="Q21" s="35">
        <v>1.62</v>
      </c>
      <c r="R21" s="35">
        <v>1.88</v>
      </c>
      <c r="S21" s="35">
        <v>2.4</v>
      </c>
      <c r="T21" s="44">
        <v>2.0099999999999998</v>
      </c>
      <c r="U21" s="107">
        <v>2.11</v>
      </c>
      <c r="V21" s="44">
        <v>1.5534650628596822</v>
      </c>
      <c r="W21" s="35">
        <v>2.58</v>
      </c>
      <c r="X21" s="35">
        <v>1.67</v>
      </c>
      <c r="Y21" s="44">
        <v>4.32</v>
      </c>
      <c r="Z21" s="44">
        <v>1.68</v>
      </c>
      <c r="AA21" s="124">
        <v>1.56</v>
      </c>
      <c r="AB21" s="35">
        <v>2.21</v>
      </c>
      <c r="AC21" s="35">
        <v>2.54</v>
      </c>
      <c r="AD21" s="35">
        <v>2.35</v>
      </c>
      <c r="AE21" s="35">
        <v>1.77</v>
      </c>
      <c r="AF21" s="35">
        <v>1.69</v>
      </c>
      <c r="AG21" s="135">
        <v>1.54</v>
      </c>
      <c r="AH21" s="35">
        <v>2.2999999999999998</v>
      </c>
    </row>
    <row r="22" spans="1:34" x14ac:dyDescent="0.25">
      <c r="A22" s="34" t="s">
        <v>293</v>
      </c>
      <c r="B22" s="35"/>
      <c r="C22" s="35"/>
      <c r="D22" s="125"/>
      <c r="E22" s="35"/>
      <c r="F22" s="35"/>
      <c r="G22" s="35"/>
      <c r="H22" s="35"/>
      <c r="I22" s="119"/>
      <c r="J22" s="107"/>
      <c r="K22" s="107"/>
      <c r="L22" s="108"/>
      <c r="M22" s="35"/>
      <c r="N22" s="35"/>
      <c r="O22" s="107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111"/>
    </row>
    <row r="23" spans="1:34" x14ac:dyDescent="0.25">
      <c r="A23" s="34" t="s">
        <v>294</v>
      </c>
      <c r="B23" s="35"/>
      <c r="C23" s="35"/>
      <c r="D23" s="35"/>
      <c r="E23" s="35"/>
      <c r="F23" s="35"/>
      <c r="G23" s="119"/>
      <c r="H23" s="111"/>
      <c r="I23" s="119"/>
      <c r="J23" s="107"/>
      <c r="K23" s="35"/>
      <c r="L23" s="108"/>
      <c r="M23" s="107"/>
      <c r="N23" s="35"/>
      <c r="O23" s="107"/>
      <c r="P23" s="35"/>
      <c r="Q23" s="35"/>
      <c r="R23" s="35"/>
      <c r="S23" s="35"/>
      <c r="T23" s="35"/>
      <c r="U23" s="35"/>
      <c r="V23" s="35"/>
      <c r="W23" s="35">
        <v>0.26</v>
      </c>
      <c r="X23" s="35">
        <v>0.19</v>
      </c>
      <c r="Y23" s="35"/>
      <c r="Z23" s="111"/>
      <c r="AA23" s="35"/>
      <c r="AB23" s="35"/>
      <c r="AC23" s="35"/>
      <c r="AD23" s="35"/>
      <c r="AE23" s="111"/>
      <c r="AF23" s="35"/>
      <c r="AG23" s="108">
        <v>3.5999999999999999E-3</v>
      </c>
      <c r="AH23" s="35"/>
    </row>
    <row r="24" spans="1:34" x14ac:dyDescent="0.25">
      <c r="A24" s="34" t="s">
        <v>295</v>
      </c>
      <c r="B24" s="35"/>
      <c r="C24" s="35"/>
      <c r="D24" s="35"/>
      <c r="E24" s="35"/>
      <c r="F24" s="35"/>
      <c r="G24" s="119"/>
      <c r="H24" s="111"/>
      <c r="I24" s="35"/>
      <c r="J24" s="35"/>
      <c r="K24" s="35"/>
      <c r="L24" s="35"/>
      <c r="M24" s="107"/>
      <c r="N24" s="35"/>
      <c r="O24" s="107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111"/>
      <c r="AA24" s="35"/>
      <c r="AB24" s="35"/>
      <c r="AC24" s="35"/>
      <c r="AD24" s="35"/>
      <c r="AE24" s="111"/>
      <c r="AF24" s="35"/>
      <c r="AG24" s="35"/>
      <c r="AH24" s="3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2" style="4" customWidth="1"/>
    <col min="2" max="34" width="16" style="4" customWidth="1"/>
    <col min="35" max="16384" width="9.140625" style="4"/>
  </cols>
  <sheetData>
    <row r="1" spans="1:34" ht="18.75" x14ac:dyDescent="0.3">
      <c r="A1" s="38" t="s">
        <v>327</v>
      </c>
    </row>
    <row r="2" spans="1:34" x14ac:dyDescent="0.25">
      <c r="A2" s="4" t="s">
        <v>244</v>
      </c>
    </row>
    <row r="3" spans="1:34" x14ac:dyDescent="0.25">
      <c r="A3" s="23" t="s">
        <v>0</v>
      </c>
      <c r="B3" s="97" t="s">
        <v>1</v>
      </c>
      <c r="C3" s="97" t="s">
        <v>2</v>
      </c>
      <c r="D3" s="97" t="s">
        <v>3</v>
      </c>
      <c r="E3" s="97" t="s">
        <v>4</v>
      </c>
      <c r="F3" s="97" t="s">
        <v>5</v>
      </c>
      <c r="G3" s="97" t="s">
        <v>6</v>
      </c>
      <c r="H3" s="97" t="s">
        <v>7</v>
      </c>
      <c r="I3" s="97" t="s">
        <v>8</v>
      </c>
      <c r="J3" s="97" t="s">
        <v>9</v>
      </c>
      <c r="K3" s="97" t="s">
        <v>10</v>
      </c>
      <c r="L3" s="97" t="s">
        <v>11</v>
      </c>
      <c r="M3" s="97" t="s">
        <v>12</v>
      </c>
      <c r="N3" s="97" t="s">
        <v>13</v>
      </c>
      <c r="O3" s="97" t="s">
        <v>14</v>
      </c>
      <c r="P3" s="97" t="s">
        <v>15</v>
      </c>
      <c r="Q3" s="97" t="s">
        <v>16</v>
      </c>
      <c r="R3" s="97" t="s">
        <v>17</v>
      </c>
      <c r="S3" s="97" t="s">
        <v>18</v>
      </c>
      <c r="T3" s="97" t="s">
        <v>19</v>
      </c>
      <c r="U3" s="97" t="s">
        <v>20</v>
      </c>
      <c r="V3" s="97" t="s">
        <v>21</v>
      </c>
      <c r="W3" s="97" t="s">
        <v>109</v>
      </c>
      <c r="X3" s="97" t="s">
        <v>110</v>
      </c>
      <c r="Y3" s="97" t="s">
        <v>22</v>
      </c>
      <c r="Z3" s="97" t="s">
        <v>23</v>
      </c>
      <c r="AA3" s="97" t="s">
        <v>24</v>
      </c>
      <c r="AB3" s="97" t="s">
        <v>25</v>
      </c>
      <c r="AC3" s="97" t="s">
        <v>26</v>
      </c>
      <c r="AD3" s="97" t="s">
        <v>27</v>
      </c>
      <c r="AE3" s="97" t="s">
        <v>28</v>
      </c>
      <c r="AF3" s="97" t="s">
        <v>29</v>
      </c>
      <c r="AG3" s="97" t="s">
        <v>30</v>
      </c>
      <c r="AH3" s="97" t="s">
        <v>31</v>
      </c>
    </row>
    <row r="4" spans="1:34" x14ac:dyDescent="0.25">
      <c r="A4" s="22" t="s">
        <v>296</v>
      </c>
      <c r="B4" s="18">
        <v>13</v>
      </c>
      <c r="C4" s="18">
        <v>25177.27</v>
      </c>
      <c r="D4" s="18">
        <v>894762.17</v>
      </c>
      <c r="E4" s="18">
        <v>100413</v>
      </c>
      <c r="F4" s="18">
        <v>1179673</v>
      </c>
      <c r="G4" s="18">
        <v>310518</v>
      </c>
      <c r="H4" s="18">
        <v>667614.78</v>
      </c>
      <c r="I4" s="18">
        <v>23702.799999999999</v>
      </c>
      <c r="J4" s="18">
        <v>19096</v>
      </c>
      <c r="K4" s="18">
        <v>1050</v>
      </c>
      <c r="L4" s="18">
        <v>616541.13</v>
      </c>
      <c r="M4" s="18">
        <v>276911</v>
      </c>
      <c r="N4" s="18">
        <v>7451</v>
      </c>
      <c r="O4" s="18">
        <v>757066.2</v>
      </c>
      <c r="P4" s="18">
        <v>2338993</v>
      </c>
      <c r="Q4" s="18">
        <v>563371.87</v>
      </c>
      <c r="R4" s="18">
        <v>17332</v>
      </c>
      <c r="S4" s="18">
        <v>87569</v>
      </c>
      <c r="T4" s="18">
        <v>97855</v>
      </c>
      <c r="U4" s="18">
        <v>36573</v>
      </c>
      <c r="V4" s="18">
        <v>2739401.98</v>
      </c>
      <c r="W4" s="18">
        <v>3188876.56</v>
      </c>
      <c r="X4" s="18">
        <v>2016469</v>
      </c>
      <c r="Y4" s="18">
        <v>16766</v>
      </c>
      <c r="Z4" s="18">
        <v>728115</v>
      </c>
      <c r="AA4" s="18">
        <v>67961</v>
      </c>
      <c r="AB4" s="18">
        <v>374922</v>
      </c>
      <c r="AC4" s="18">
        <v>449304</v>
      </c>
      <c r="AD4" s="18">
        <v>721198.56</v>
      </c>
      <c r="AE4" s="18">
        <v>196272.32</v>
      </c>
      <c r="AF4" s="18">
        <v>587695</v>
      </c>
      <c r="AG4" s="18">
        <v>2646417.1800000002</v>
      </c>
      <c r="AH4" s="18">
        <v>230567</v>
      </c>
    </row>
    <row r="5" spans="1:34" x14ac:dyDescent="0.25">
      <c r="A5" s="22" t="s">
        <v>297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ht="30" x14ac:dyDescent="0.25">
      <c r="A6" s="22" t="s">
        <v>298</v>
      </c>
      <c r="B6" s="18">
        <v>82</v>
      </c>
      <c r="C6" s="18">
        <v>13706.16</v>
      </c>
      <c r="D6" s="18">
        <v>373724.79</v>
      </c>
      <c r="E6" s="18"/>
      <c r="F6" s="18">
        <v>953146</v>
      </c>
      <c r="G6" s="18">
        <v>254662</v>
      </c>
      <c r="H6" s="18">
        <v>420408.01</v>
      </c>
      <c r="I6" s="18">
        <v>22371.89</v>
      </c>
      <c r="J6" s="18">
        <v>5908</v>
      </c>
      <c r="K6" s="18">
        <v>19</v>
      </c>
      <c r="L6" s="18">
        <v>592834.71</v>
      </c>
      <c r="M6" s="18"/>
      <c r="N6" s="18"/>
      <c r="O6" s="18"/>
      <c r="P6" s="18">
        <v>2035381</v>
      </c>
      <c r="Q6" s="18">
        <v>565500.42000000004</v>
      </c>
      <c r="R6" s="18"/>
      <c r="S6" s="18">
        <v>82364</v>
      </c>
      <c r="T6" s="18">
        <v>76269</v>
      </c>
      <c r="U6" s="18">
        <v>34616</v>
      </c>
      <c r="V6" s="18"/>
      <c r="W6" s="18">
        <v>2974021.01</v>
      </c>
      <c r="X6" s="18">
        <v>1537420</v>
      </c>
      <c r="Y6" s="18"/>
      <c r="Z6" s="18">
        <v>592083</v>
      </c>
      <c r="AA6" s="18">
        <v>51100</v>
      </c>
      <c r="AB6" s="18"/>
      <c r="AC6" s="18">
        <v>424920</v>
      </c>
      <c r="AD6" s="18">
        <v>666520.41</v>
      </c>
      <c r="AE6" s="18"/>
      <c r="AF6" s="18">
        <v>488790</v>
      </c>
      <c r="AG6" s="18"/>
      <c r="AH6" s="18">
        <v>175483</v>
      </c>
    </row>
    <row r="7" spans="1:34" ht="45" x14ac:dyDescent="0.25">
      <c r="A7" s="22" t="s">
        <v>299</v>
      </c>
      <c r="B7" s="18">
        <v>305</v>
      </c>
      <c r="C7" s="18">
        <v>10804.72</v>
      </c>
      <c r="D7" s="18">
        <v>516033.49</v>
      </c>
      <c r="E7" s="18">
        <v>8014</v>
      </c>
      <c r="F7" s="18">
        <v>222402</v>
      </c>
      <c r="G7" s="18">
        <v>49775</v>
      </c>
      <c r="H7" s="18">
        <v>193120.18</v>
      </c>
      <c r="I7" s="18"/>
      <c r="J7" s="18">
        <v>9941</v>
      </c>
      <c r="K7" s="18">
        <v>117</v>
      </c>
      <c r="L7" s="18">
        <v>28187.919999999998</v>
      </c>
      <c r="M7" s="18">
        <v>6021</v>
      </c>
      <c r="N7" s="18">
        <v>5572</v>
      </c>
      <c r="O7" s="18">
        <v>239331.1</v>
      </c>
      <c r="P7" s="18">
        <v>324178</v>
      </c>
      <c r="Q7" s="18">
        <v>-2128.5500000000002</v>
      </c>
      <c r="R7" s="18">
        <v>6</v>
      </c>
      <c r="S7" s="18">
        <v>5138</v>
      </c>
      <c r="T7" s="18">
        <v>21586</v>
      </c>
      <c r="U7" s="18"/>
      <c r="V7" s="18"/>
      <c r="W7" s="18">
        <v>366777.16</v>
      </c>
      <c r="X7" s="18">
        <v>8215</v>
      </c>
      <c r="Y7" s="18"/>
      <c r="Z7" s="18">
        <v>136031</v>
      </c>
      <c r="AA7" s="18">
        <v>9816</v>
      </c>
      <c r="AB7" s="18">
        <v>37969</v>
      </c>
      <c r="AC7" s="18"/>
      <c r="AD7" s="18">
        <v>6065.51</v>
      </c>
      <c r="AE7" s="18"/>
      <c r="AF7" s="18">
        <v>96485</v>
      </c>
      <c r="AG7" s="18">
        <v>484601.64</v>
      </c>
      <c r="AH7" s="18">
        <v>48034</v>
      </c>
    </row>
    <row r="8" spans="1:34" x14ac:dyDescent="0.25">
      <c r="A8" s="22" t="s">
        <v>300</v>
      </c>
      <c r="B8" s="18"/>
      <c r="C8" s="18"/>
      <c r="D8" s="18"/>
      <c r="E8" s="18">
        <v>16139</v>
      </c>
      <c r="F8" s="18"/>
      <c r="G8" s="18"/>
      <c r="H8" s="18"/>
      <c r="I8" s="18"/>
      <c r="J8" s="18"/>
      <c r="K8" s="18"/>
      <c r="L8" s="18"/>
      <c r="M8" s="18">
        <v>25434</v>
      </c>
      <c r="N8" s="18">
        <v>7457</v>
      </c>
      <c r="O8" s="18">
        <v>517735.2</v>
      </c>
      <c r="P8" s="18"/>
      <c r="Q8" s="18"/>
      <c r="R8" s="18">
        <v>16246</v>
      </c>
      <c r="S8" s="18"/>
      <c r="T8" s="18"/>
      <c r="U8" s="18"/>
      <c r="V8" s="18">
        <v>2236454.9400000004</v>
      </c>
      <c r="W8" s="18"/>
      <c r="X8" s="18"/>
      <c r="Y8" s="18">
        <v>9087</v>
      </c>
      <c r="Z8" s="18"/>
      <c r="AA8" s="18"/>
      <c r="AB8" s="18">
        <v>325673</v>
      </c>
      <c r="AC8" s="18"/>
      <c r="AD8" s="18"/>
      <c r="AE8" s="18">
        <v>4511.28</v>
      </c>
      <c r="AF8" s="18"/>
      <c r="AG8" s="18">
        <v>1409267.31</v>
      </c>
      <c r="AH8" s="18"/>
    </row>
    <row r="9" spans="1:34" x14ac:dyDescent="0.25">
      <c r="A9" s="22" t="s">
        <v>301</v>
      </c>
      <c r="B9" s="18">
        <v>39</v>
      </c>
      <c r="C9" s="18"/>
      <c r="D9" s="18">
        <v>89056.46</v>
      </c>
      <c r="E9" s="18">
        <v>68224</v>
      </c>
      <c r="F9" s="18"/>
      <c r="G9" s="18"/>
      <c r="H9" s="18"/>
      <c r="I9" s="18"/>
      <c r="J9" s="18"/>
      <c r="K9" s="18"/>
      <c r="L9" s="18"/>
      <c r="M9" s="18">
        <v>245456</v>
      </c>
      <c r="N9" s="18">
        <v>82</v>
      </c>
      <c r="O9" s="18"/>
      <c r="P9" s="18"/>
      <c r="Q9" s="18"/>
      <c r="R9" s="18"/>
      <c r="S9" s="18"/>
      <c r="T9" s="18"/>
      <c r="U9" s="18"/>
      <c r="V9" s="18">
        <v>572492.98</v>
      </c>
      <c r="W9" s="18"/>
      <c r="X9" s="18"/>
      <c r="Y9" s="18">
        <v>4963</v>
      </c>
      <c r="Z9" s="18"/>
      <c r="AA9" s="18"/>
      <c r="AB9" s="18"/>
      <c r="AC9" s="18"/>
      <c r="AD9" s="18"/>
      <c r="AE9" s="18">
        <v>180242.58</v>
      </c>
      <c r="AF9" s="18"/>
      <c r="AG9" s="18">
        <v>625622.5</v>
      </c>
      <c r="AH9" s="18">
        <v>5965</v>
      </c>
    </row>
    <row r="10" spans="1:34" s="5" customFormat="1" x14ac:dyDescent="0.25">
      <c r="A10" s="27" t="s">
        <v>302</v>
      </c>
      <c r="B10" s="26">
        <v>-295</v>
      </c>
      <c r="C10" s="26">
        <v>666.39</v>
      </c>
      <c r="D10" s="26">
        <v>-84052.57</v>
      </c>
      <c r="E10" s="26">
        <v>8036</v>
      </c>
      <c r="F10" s="26">
        <v>4126</v>
      </c>
      <c r="G10" s="26">
        <v>6081</v>
      </c>
      <c r="H10" s="26">
        <v>54086.59</v>
      </c>
      <c r="I10" s="26">
        <v>1330.91</v>
      </c>
      <c r="J10" s="26">
        <v>3247</v>
      </c>
      <c r="K10" s="26">
        <v>914</v>
      </c>
      <c r="L10" s="26">
        <v>-4481.5</v>
      </c>
      <c r="M10" s="26"/>
      <c r="N10" s="26">
        <v>-5661</v>
      </c>
      <c r="O10" s="26"/>
      <c r="P10" s="26">
        <v>-20565</v>
      </c>
      <c r="Q10" s="26"/>
      <c r="R10" s="26">
        <v>1080</v>
      </c>
      <c r="S10" s="26">
        <v>66</v>
      </c>
      <c r="T10" s="26"/>
      <c r="U10" s="26">
        <v>1957</v>
      </c>
      <c r="V10" s="26">
        <v>-69545.94000000041</v>
      </c>
      <c r="W10" s="26">
        <v>-151921.60999999999</v>
      </c>
      <c r="X10" s="26">
        <v>470834</v>
      </c>
      <c r="Y10" s="26">
        <v>2716</v>
      </c>
      <c r="Z10" s="26"/>
      <c r="AA10" s="26">
        <v>7045</v>
      </c>
      <c r="AB10" s="26">
        <v>11281</v>
      </c>
      <c r="AC10" s="26">
        <v>24384</v>
      </c>
      <c r="AD10" s="26">
        <v>48612.65</v>
      </c>
      <c r="AE10" s="26">
        <v>11518.46</v>
      </c>
      <c r="AF10" s="26">
        <v>2420</v>
      </c>
      <c r="AG10" s="26">
        <v>126925.72</v>
      </c>
      <c r="AH10" s="26">
        <v>1084</v>
      </c>
    </row>
    <row r="11" spans="1:34" x14ac:dyDescent="0.25">
      <c r="A11" s="22" t="s">
        <v>303</v>
      </c>
      <c r="B11" s="18">
        <v>12681</v>
      </c>
      <c r="C11" s="18">
        <v>7700.94</v>
      </c>
      <c r="D11" s="18">
        <v>343224.61</v>
      </c>
      <c r="E11" s="18">
        <v>53481</v>
      </c>
      <c r="F11" s="18">
        <v>498389</v>
      </c>
      <c r="G11" s="18">
        <v>70372</v>
      </c>
      <c r="H11" s="18">
        <v>91119.64</v>
      </c>
      <c r="I11" s="18">
        <v>18328.169999999998</v>
      </c>
      <c r="J11" s="18">
        <v>13442</v>
      </c>
      <c r="K11" s="18">
        <v>14915</v>
      </c>
      <c r="L11" s="18">
        <v>377880.05</v>
      </c>
      <c r="M11" s="18">
        <v>66415</v>
      </c>
      <c r="N11" s="4">
        <v>33048</v>
      </c>
      <c r="O11" s="18">
        <v>270675.20000000001</v>
      </c>
      <c r="P11" s="18">
        <v>496481</v>
      </c>
      <c r="Q11" s="18">
        <v>279279.52</v>
      </c>
      <c r="R11" s="18">
        <v>11321</v>
      </c>
      <c r="S11" s="18">
        <v>43721</v>
      </c>
      <c r="T11" s="18">
        <v>27687</v>
      </c>
      <c r="U11" s="18">
        <v>44547</v>
      </c>
      <c r="V11" s="18">
        <v>698497.34</v>
      </c>
      <c r="W11" s="18">
        <v>1798719.74</v>
      </c>
      <c r="X11" s="4">
        <v>210936</v>
      </c>
      <c r="Y11" s="18">
        <v>20053</v>
      </c>
      <c r="Z11" s="18">
        <v>181660</v>
      </c>
      <c r="AA11" s="18">
        <v>40262</v>
      </c>
      <c r="AB11" s="18">
        <v>95231</v>
      </c>
      <c r="AC11" s="18">
        <v>136850</v>
      </c>
      <c r="AD11" s="18">
        <v>104498.62</v>
      </c>
      <c r="AE11" s="18">
        <v>130871.62</v>
      </c>
      <c r="AF11" s="18">
        <v>200684</v>
      </c>
      <c r="AG11" s="18">
        <v>584861.43000000005</v>
      </c>
      <c r="AH11" s="18">
        <v>81841</v>
      </c>
    </row>
    <row r="12" spans="1:34" x14ac:dyDescent="0.25">
      <c r="A12" s="22" t="s">
        <v>297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ht="45" x14ac:dyDescent="0.25">
      <c r="A13" s="22" t="s">
        <v>304</v>
      </c>
      <c r="B13" s="18"/>
      <c r="C13" s="18"/>
      <c r="D13" s="18">
        <v>6450</v>
      </c>
      <c r="E13" s="18">
        <v>14048</v>
      </c>
      <c r="F13" s="18">
        <v>71578</v>
      </c>
      <c r="G13" s="18">
        <v>5758</v>
      </c>
      <c r="H13" s="18">
        <v>22094.53</v>
      </c>
      <c r="I13" s="18">
        <v>6240.56</v>
      </c>
      <c r="J13" s="18"/>
      <c r="K13" s="18">
        <v>1804</v>
      </c>
      <c r="L13" s="18">
        <v>17276.47</v>
      </c>
      <c r="M13" s="18">
        <v>13659</v>
      </c>
      <c r="N13" s="18"/>
      <c r="O13" s="18">
        <v>65334.9</v>
      </c>
      <c r="P13" s="18">
        <v>26795</v>
      </c>
      <c r="Q13" s="18">
        <v>104964.43</v>
      </c>
      <c r="R13" s="18">
        <v>3010</v>
      </c>
      <c r="S13" s="18">
        <v>9192</v>
      </c>
      <c r="T13" s="18">
        <v>21431</v>
      </c>
      <c r="U13" s="18">
        <v>21717</v>
      </c>
      <c r="V13" s="18"/>
      <c r="W13" s="18">
        <v>272911.62</v>
      </c>
      <c r="X13" s="4">
        <v>231698</v>
      </c>
      <c r="Y13" s="18">
        <v>1156</v>
      </c>
      <c r="Z13" s="18">
        <v>38552</v>
      </c>
      <c r="AA13" s="18">
        <v>21269</v>
      </c>
      <c r="AB13" s="18"/>
      <c r="AC13" s="18">
        <v>18557</v>
      </c>
      <c r="AD13" s="18">
        <v>25629.15</v>
      </c>
      <c r="AE13" s="18">
        <v>29018.94</v>
      </c>
      <c r="AF13" s="18">
        <v>38663</v>
      </c>
      <c r="AG13" s="18">
        <v>107097.56</v>
      </c>
      <c r="AH13" s="18">
        <v>9038</v>
      </c>
    </row>
    <row r="14" spans="1:34" x14ac:dyDescent="0.25">
      <c r="A14" s="27" t="s">
        <v>305</v>
      </c>
      <c r="B14" s="26">
        <v>12681</v>
      </c>
      <c r="C14" s="26">
        <v>7700.94</v>
      </c>
      <c r="D14" s="26">
        <v>336774.61</v>
      </c>
      <c r="E14" s="26">
        <v>39433</v>
      </c>
      <c r="F14" s="26">
        <v>426811</v>
      </c>
      <c r="G14" s="26">
        <v>64613</v>
      </c>
      <c r="H14" s="26">
        <v>69025.11</v>
      </c>
      <c r="I14" s="26">
        <v>12087.61</v>
      </c>
      <c r="J14" s="26">
        <v>13442</v>
      </c>
      <c r="K14" s="26">
        <v>13111</v>
      </c>
      <c r="L14" s="26">
        <v>360603.58</v>
      </c>
      <c r="M14" s="26">
        <v>52756</v>
      </c>
      <c r="N14" s="26">
        <v>33048</v>
      </c>
      <c r="O14" s="26">
        <v>205340.3</v>
      </c>
      <c r="P14" s="26">
        <v>469686</v>
      </c>
      <c r="Q14" s="26">
        <v>174315.09</v>
      </c>
      <c r="R14" s="26">
        <v>8311</v>
      </c>
      <c r="S14" s="26">
        <v>34529</v>
      </c>
      <c r="T14" s="26">
        <v>21431</v>
      </c>
      <c r="U14" s="26">
        <v>22830</v>
      </c>
      <c r="V14" s="26">
        <v>698497.34</v>
      </c>
      <c r="W14" s="26">
        <v>1525808.12</v>
      </c>
      <c r="X14" s="26">
        <v>-20762</v>
      </c>
      <c r="Y14" s="26">
        <v>18897</v>
      </c>
      <c r="Z14" s="26">
        <v>143108</v>
      </c>
      <c r="AA14" s="26">
        <v>18992</v>
      </c>
      <c r="AB14" s="26">
        <v>95231</v>
      </c>
      <c r="AC14" s="26">
        <v>118293</v>
      </c>
      <c r="AD14" s="26">
        <v>78869.47</v>
      </c>
      <c r="AE14" s="26">
        <v>101852.69</v>
      </c>
      <c r="AF14" s="26">
        <v>162021</v>
      </c>
      <c r="AG14" s="26">
        <v>477763.87</v>
      </c>
      <c r="AH14" s="26">
        <v>72802</v>
      </c>
    </row>
    <row r="15" spans="1:34" x14ac:dyDescent="0.25">
      <c r="A15" s="20" t="s">
        <v>306</v>
      </c>
      <c r="B15" s="21">
        <v>12681</v>
      </c>
      <c r="C15" s="21">
        <v>8367.33</v>
      </c>
      <c r="D15" s="21">
        <v>252722.04</v>
      </c>
      <c r="E15" s="21">
        <v>47469</v>
      </c>
      <c r="F15" s="21">
        <v>430937</v>
      </c>
      <c r="G15" s="21">
        <v>70695</v>
      </c>
      <c r="H15" s="21">
        <v>123111.7</v>
      </c>
      <c r="I15" s="21">
        <v>13418.52</v>
      </c>
      <c r="J15" s="21">
        <v>16689</v>
      </c>
      <c r="K15" s="21">
        <v>14025</v>
      </c>
      <c r="L15" s="21">
        <v>356122.07</v>
      </c>
      <c r="M15" s="21">
        <v>58777</v>
      </c>
      <c r="N15" s="21">
        <v>27388</v>
      </c>
      <c r="O15" s="21">
        <v>205340.3</v>
      </c>
      <c r="P15" s="21">
        <v>449120</v>
      </c>
      <c r="Q15" s="21">
        <v>174315.09</v>
      </c>
      <c r="R15" s="21">
        <v>9391</v>
      </c>
      <c r="S15" s="21">
        <v>34595</v>
      </c>
      <c r="T15" s="21">
        <v>10656</v>
      </c>
      <c r="U15" s="21">
        <v>24787</v>
      </c>
      <c r="V15" s="21">
        <v>628951.39999999956</v>
      </c>
      <c r="W15" s="21">
        <v>1373886.51</v>
      </c>
      <c r="X15" s="21">
        <v>450072</v>
      </c>
      <c r="Y15" s="21">
        <v>21613</v>
      </c>
      <c r="Z15" s="21">
        <v>143108</v>
      </c>
      <c r="AA15" s="21">
        <v>26037</v>
      </c>
      <c r="AB15" s="21">
        <v>106512</v>
      </c>
      <c r="AC15" s="21">
        <v>142678</v>
      </c>
      <c r="AD15" s="21">
        <v>127482.12</v>
      </c>
      <c r="AE15" s="21">
        <v>113371.15</v>
      </c>
      <c r="AF15" s="21">
        <v>164441</v>
      </c>
      <c r="AG15" s="21">
        <v>604689.59</v>
      </c>
      <c r="AH15" s="21">
        <v>73886</v>
      </c>
    </row>
    <row r="16" spans="1:34" x14ac:dyDescent="0.25">
      <c r="A16" s="20" t="s">
        <v>307</v>
      </c>
      <c r="B16" s="21">
        <v>12386</v>
      </c>
      <c r="C16" s="21">
        <v>5000</v>
      </c>
      <c r="D16" s="21">
        <v>124728.6</v>
      </c>
      <c r="E16" s="21">
        <v>27289</v>
      </c>
      <c r="F16" s="21">
        <v>155999</v>
      </c>
      <c r="G16" s="21">
        <v>37912</v>
      </c>
      <c r="H16" s="21">
        <v>76653.64</v>
      </c>
      <c r="I16" s="21">
        <v>6507</v>
      </c>
      <c r="J16" s="21">
        <v>5000</v>
      </c>
      <c r="K16" s="21">
        <v>5000</v>
      </c>
      <c r="L16" s="21">
        <v>36117.230000000003</v>
      </c>
      <c r="M16" s="21">
        <v>34764</v>
      </c>
      <c r="N16" s="21">
        <v>5000</v>
      </c>
      <c r="O16" s="21">
        <v>99704.5</v>
      </c>
      <c r="P16" s="21">
        <v>219073</v>
      </c>
      <c r="Q16" s="21">
        <v>107398.84</v>
      </c>
      <c r="R16" s="21">
        <v>5000</v>
      </c>
      <c r="S16" s="21">
        <v>14438</v>
      </c>
      <c r="T16" s="21">
        <v>2.0099999999999998</v>
      </c>
      <c r="U16" s="21">
        <v>11755</v>
      </c>
      <c r="V16" s="21">
        <v>404870</v>
      </c>
      <c r="W16" s="21">
        <v>532296.86</v>
      </c>
      <c r="X16" s="21">
        <v>269334</v>
      </c>
      <c r="Y16" s="21">
        <v>5000</v>
      </c>
      <c r="Z16" s="21">
        <v>84956</v>
      </c>
      <c r="AA16" s="21">
        <v>16662</v>
      </c>
      <c r="AB16" s="21">
        <v>48118</v>
      </c>
      <c r="AC16" s="21">
        <v>56201</v>
      </c>
      <c r="AD16" s="21">
        <v>54331.61</v>
      </c>
      <c r="AE16" s="21">
        <v>63921.33</v>
      </c>
      <c r="AF16" s="21">
        <v>97367</v>
      </c>
      <c r="AG16" s="21">
        <v>393541.03</v>
      </c>
      <c r="AH16" s="21">
        <v>32062</v>
      </c>
    </row>
    <row r="17" spans="1:34" s="100" customFormat="1" x14ac:dyDescent="0.25">
      <c r="A17" s="126" t="s">
        <v>308</v>
      </c>
      <c r="B17" s="52">
        <v>2.48</v>
      </c>
      <c r="C17" s="52">
        <v>1.67</v>
      </c>
      <c r="D17" s="52">
        <v>2.0299999999999998</v>
      </c>
      <c r="E17" s="52">
        <v>1.74</v>
      </c>
      <c r="F17" s="52">
        <v>2.76</v>
      </c>
      <c r="G17" s="52">
        <v>1.86</v>
      </c>
      <c r="H17" s="52">
        <v>1.6060000000000001</v>
      </c>
      <c r="I17" s="52">
        <v>2.0619999999999998</v>
      </c>
      <c r="J17" s="52">
        <v>3.34</v>
      </c>
      <c r="K17" s="52">
        <v>2.81</v>
      </c>
      <c r="L17" s="52">
        <v>9.86</v>
      </c>
      <c r="M17" s="52">
        <v>1.69</v>
      </c>
      <c r="N17" s="52">
        <v>5.48</v>
      </c>
      <c r="O17" s="52">
        <v>2.06</v>
      </c>
      <c r="P17" s="52">
        <v>2.0499999999999998</v>
      </c>
      <c r="Q17" s="52">
        <v>1.62</v>
      </c>
      <c r="R17" s="52">
        <v>1.88</v>
      </c>
      <c r="S17" s="52">
        <v>2.4</v>
      </c>
      <c r="T17" s="52">
        <v>6256</v>
      </c>
      <c r="U17" s="52">
        <v>2.11</v>
      </c>
      <c r="V17" s="52">
        <v>1.5534650628596822</v>
      </c>
      <c r="W17" s="52">
        <v>2.58</v>
      </c>
      <c r="X17" s="52">
        <v>1.67</v>
      </c>
      <c r="Y17" s="52">
        <v>4</v>
      </c>
      <c r="Z17" s="52">
        <v>1.68</v>
      </c>
      <c r="AA17" s="52">
        <v>1.56</v>
      </c>
      <c r="AB17" s="52">
        <v>2.21</v>
      </c>
      <c r="AC17" s="52">
        <v>2.54</v>
      </c>
      <c r="AD17" s="52">
        <v>2.35</v>
      </c>
      <c r="AE17" s="52">
        <v>1.77</v>
      </c>
      <c r="AF17" s="52">
        <v>1.69</v>
      </c>
      <c r="AG17" s="52">
        <v>1.54</v>
      </c>
      <c r="AH17" s="52">
        <v>2.2999999999999998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RowHeight="15" x14ac:dyDescent="0.25"/>
  <cols>
    <col min="1" max="1" width="31" customWidth="1"/>
    <col min="2" max="67" width="14.140625" customWidth="1"/>
  </cols>
  <sheetData>
    <row r="1" spans="1:67" ht="18.75" x14ac:dyDescent="0.3">
      <c r="A1" s="50" t="s">
        <v>309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spans="1:67" x14ac:dyDescent="0.25">
      <c r="A2" s="4" t="s">
        <v>310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67" x14ac:dyDescent="0.25">
      <c r="A3" s="20" t="s">
        <v>0</v>
      </c>
      <c r="B3" s="163" t="s">
        <v>1</v>
      </c>
      <c r="C3" s="164"/>
      <c r="D3" s="163" t="s">
        <v>2</v>
      </c>
      <c r="E3" s="164"/>
      <c r="F3" s="163" t="s">
        <v>3</v>
      </c>
      <c r="G3" s="164"/>
      <c r="H3" s="163" t="s">
        <v>4</v>
      </c>
      <c r="I3" s="164"/>
      <c r="J3" s="163" t="s">
        <v>5</v>
      </c>
      <c r="K3" s="164"/>
      <c r="L3" s="163" t="s">
        <v>6</v>
      </c>
      <c r="M3" s="164"/>
      <c r="N3" s="163" t="s">
        <v>7</v>
      </c>
      <c r="O3" s="164"/>
      <c r="P3" s="163" t="s">
        <v>8</v>
      </c>
      <c r="Q3" s="164"/>
      <c r="R3" s="163" t="s">
        <v>9</v>
      </c>
      <c r="S3" s="164"/>
      <c r="T3" s="163" t="s">
        <v>10</v>
      </c>
      <c r="U3" s="164"/>
      <c r="V3" s="163" t="s">
        <v>11</v>
      </c>
      <c r="W3" s="164"/>
      <c r="X3" s="163" t="s">
        <v>12</v>
      </c>
      <c r="Y3" s="164"/>
      <c r="Z3" s="163" t="s">
        <v>13</v>
      </c>
      <c r="AA3" s="164"/>
      <c r="AB3" s="163" t="s">
        <v>14</v>
      </c>
      <c r="AC3" s="164"/>
      <c r="AD3" s="163" t="s">
        <v>15</v>
      </c>
      <c r="AE3" s="164"/>
      <c r="AF3" s="163" t="s">
        <v>16</v>
      </c>
      <c r="AG3" s="164"/>
      <c r="AH3" s="163" t="s">
        <v>17</v>
      </c>
      <c r="AI3" s="164"/>
      <c r="AJ3" s="163" t="s">
        <v>18</v>
      </c>
      <c r="AK3" s="164"/>
      <c r="AL3" s="163" t="s">
        <v>19</v>
      </c>
      <c r="AM3" s="164"/>
      <c r="AN3" s="163" t="s">
        <v>20</v>
      </c>
      <c r="AO3" s="164"/>
      <c r="AP3" s="163" t="s">
        <v>21</v>
      </c>
      <c r="AQ3" s="164"/>
      <c r="AR3" s="163" t="s">
        <v>109</v>
      </c>
      <c r="AS3" s="164"/>
      <c r="AT3" s="163" t="s">
        <v>110</v>
      </c>
      <c r="AU3" s="164"/>
      <c r="AV3" s="163" t="s">
        <v>22</v>
      </c>
      <c r="AW3" s="164"/>
      <c r="AX3" s="163" t="s">
        <v>23</v>
      </c>
      <c r="AY3" s="164"/>
      <c r="AZ3" s="163" t="s">
        <v>24</v>
      </c>
      <c r="BA3" s="164"/>
      <c r="BB3" s="163" t="s">
        <v>25</v>
      </c>
      <c r="BC3" s="164"/>
      <c r="BD3" s="163" t="s">
        <v>26</v>
      </c>
      <c r="BE3" s="164"/>
      <c r="BF3" s="163" t="s">
        <v>27</v>
      </c>
      <c r="BG3" s="164"/>
      <c r="BH3" s="163" t="s">
        <v>28</v>
      </c>
      <c r="BI3" s="164"/>
      <c r="BJ3" s="163" t="s">
        <v>29</v>
      </c>
      <c r="BK3" s="164"/>
      <c r="BL3" s="163" t="s">
        <v>30</v>
      </c>
      <c r="BM3" s="164"/>
      <c r="BN3" s="163" t="s">
        <v>31</v>
      </c>
      <c r="BO3" s="164"/>
    </row>
    <row r="4" spans="1:67" x14ac:dyDescent="0.25">
      <c r="A4" s="20"/>
      <c r="B4" s="177" t="s">
        <v>162</v>
      </c>
      <c r="C4" s="177"/>
      <c r="D4" s="177" t="s">
        <v>162</v>
      </c>
      <c r="E4" s="177"/>
      <c r="F4" s="177" t="s">
        <v>162</v>
      </c>
      <c r="G4" s="177"/>
      <c r="H4" s="177" t="s">
        <v>162</v>
      </c>
      <c r="I4" s="177"/>
      <c r="J4" s="177" t="s">
        <v>162</v>
      </c>
      <c r="K4" s="177"/>
      <c r="L4" s="177" t="s">
        <v>162</v>
      </c>
      <c r="M4" s="177"/>
      <c r="N4" s="177" t="s">
        <v>162</v>
      </c>
      <c r="O4" s="177"/>
      <c r="P4" s="177" t="s">
        <v>162</v>
      </c>
      <c r="Q4" s="177"/>
      <c r="R4" s="177" t="s">
        <v>162</v>
      </c>
      <c r="S4" s="177"/>
      <c r="T4" s="177" t="s">
        <v>162</v>
      </c>
      <c r="U4" s="177"/>
      <c r="V4" s="177" t="s">
        <v>162</v>
      </c>
      <c r="W4" s="177"/>
      <c r="X4" s="177" t="s">
        <v>162</v>
      </c>
      <c r="Y4" s="177"/>
      <c r="Z4" s="177" t="s">
        <v>162</v>
      </c>
      <c r="AA4" s="177"/>
      <c r="AB4" s="177" t="s">
        <v>162</v>
      </c>
      <c r="AC4" s="177"/>
      <c r="AD4" s="177" t="s">
        <v>162</v>
      </c>
      <c r="AE4" s="177"/>
      <c r="AF4" s="177" t="s">
        <v>162</v>
      </c>
      <c r="AG4" s="177"/>
      <c r="AH4" s="177" t="s">
        <v>162</v>
      </c>
      <c r="AI4" s="177"/>
      <c r="AJ4" s="177" t="s">
        <v>162</v>
      </c>
      <c r="AK4" s="177"/>
      <c r="AL4" s="177" t="s">
        <v>162</v>
      </c>
      <c r="AM4" s="177"/>
      <c r="AN4" s="177" t="s">
        <v>162</v>
      </c>
      <c r="AO4" s="177"/>
      <c r="AP4" s="177" t="s">
        <v>162</v>
      </c>
      <c r="AQ4" s="177"/>
      <c r="AR4" s="177" t="s">
        <v>162</v>
      </c>
      <c r="AS4" s="177"/>
      <c r="AT4" s="177" t="s">
        <v>162</v>
      </c>
      <c r="AU4" s="177"/>
      <c r="AV4" s="177" t="s">
        <v>162</v>
      </c>
      <c r="AW4" s="177"/>
      <c r="AX4" s="177" t="s">
        <v>162</v>
      </c>
      <c r="AY4" s="177"/>
      <c r="AZ4" s="177" t="s">
        <v>162</v>
      </c>
      <c r="BA4" s="177"/>
      <c r="BB4" s="177" t="s">
        <v>162</v>
      </c>
      <c r="BC4" s="177"/>
      <c r="BD4" s="177" t="s">
        <v>162</v>
      </c>
      <c r="BE4" s="177"/>
      <c r="BF4" s="177" t="s">
        <v>162</v>
      </c>
      <c r="BG4" s="177"/>
      <c r="BH4" s="177" t="s">
        <v>162</v>
      </c>
      <c r="BI4" s="177"/>
      <c r="BJ4" s="177" t="s">
        <v>162</v>
      </c>
      <c r="BK4" s="177"/>
      <c r="BL4" s="177" t="s">
        <v>162</v>
      </c>
      <c r="BM4" s="177"/>
      <c r="BN4" s="177" t="s">
        <v>162</v>
      </c>
      <c r="BO4" s="177"/>
    </row>
    <row r="5" spans="1:67" x14ac:dyDescent="0.25">
      <c r="A5" s="40"/>
      <c r="B5" s="40" t="s">
        <v>311</v>
      </c>
      <c r="C5" s="40" t="s">
        <v>312</v>
      </c>
      <c r="D5" s="40" t="s">
        <v>311</v>
      </c>
      <c r="E5" s="40" t="s">
        <v>312</v>
      </c>
      <c r="F5" s="40" t="s">
        <v>311</v>
      </c>
      <c r="G5" s="40" t="s">
        <v>312</v>
      </c>
      <c r="H5" s="40" t="s">
        <v>311</v>
      </c>
      <c r="I5" s="40" t="s">
        <v>312</v>
      </c>
      <c r="J5" s="40" t="s">
        <v>311</v>
      </c>
      <c r="K5" s="40" t="s">
        <v>312</v>
      </c>
      <c r="L5" s="40" t="s">
        <v>311</v>
      </c>
      <c r="M5" s="40" t="s">
        <v>312</v>
      </c>
      <c r="N5" s="40" t="s">
        <v>311</v>
      </c>
      <c r="O5" s="40" t="s">
        <v>312</v>
      </c>
      <c r="P5" s="40" t="s">
        <v>311</v>
      </c>
      <c r="Q5" s="40" t="s">
        <v>312</v>
      </c>
      <c r="R5" s="40" t="s">
        <v>311</v>
      </c>
      <c r="S5" s="40" t="s">
        <v>312</v>
      </c>
      <c r="T5" s="40" t="s">
        <v>311</v>
      </c>
      <c r="U5" s="40" t="s">
        <v>312</v>
      </c>
      <c r="V5" s="40" t="s">
        <v>311</v>
      </c>
      <c r="W5" s="40" t="s">
        <v>312</v>
      </c>
      <c r="X5" s="40" t="s">
        <v>311</v>
      </c>
      <c r="Y5" s="40" t="s">
        <v>312</v>
      </c>
      <c r="Z5" s="40" t="s">
        <v>311</v>
      </c>
      <c r="AA5" s="40" t="s">
        <v>312</v>
      </c>
      <c r="AB5" s="40" t="s">
        <v>311</v>
      </c>
      <c r="AC5" s="40" t="s">
        <v>312</v>
      </c>
      <c r="AD5" s="40" t="s">
        <v>311</v>
      </c>
      <c r="AE5" s="40" t="s">
        <v>312</v>
      </c>
      <c r="AF5" s="40" t="s">
        <v>311</v>
      </c>
      <c r="AG5" s="40" t="s">
        <v>312</v>
      </c>
      <c r="AH5" s="40" t="s">
        <v>311</v>
      </c>
      <c r="AI5" s="40" t="s">
        <v>312</v>
      </c>
      <c r="AJ5" s="40" t="s">
        <v>311</v>
      </c>
      <c r="AK5" s="40" t="s">
        <v>312</v>
      </c>
      <c r="AL5" s="40" t="s">
        <v>311</v>
      </c>
      <c r="AM5" s="40" t="s">
        <v>312</v>
      </c>
      <c r="AN5" s="40" t="s">
        <v>311</v>
      </c>
      <c r="AO5" s="40" t="s">
        <v>312</v>
      </c>
      <c r="AP5" s="40" t="s">
        <v>311</v>
      </c>
      <c r="AQ5" s="40" t="s">
        <v>312</v>
      </c>
      <c r="AR5" s="40" t="s">
        <v>311</v>
      </c>
      <c r="AS5" s="40" t="s">
        <v>312</v>
      </c>
      <c r="AT5" s="40" t="s">
        <v>311</v>
      </c>
      <c r="AU5" s="40" t="s">
        <v>312</v>
      </c>
      <c r="AV5" s="40" t="s">
        <v>311</v>
      </c>
      <c r="AW5" s="40" t="s">
        <v>312</v>
      </c>
      <c r="AX5" s="40" t="s">
        <v>311</v>
      </c>
      <c r="AY5" s="40" t="s">
        <v>312</v>
      </c>
      <c r="AZ5" s="40" t="s">
        <v>311</v>
      </c>
      <c r="BA5" s="40" t="s">
        <v>312</v>
      </c>
      <c r="BB5" s="40" t="s">
        <v>311</v>
      </c>
      <c r="BC5" s="40" t="s">
        <v>312</v>
      </c>
      <c r="BD5" s="40" t="s">
        <v>311</v>
      </c>
      <c r="BE5" s="40" t="s">
        <v>312</v>
      </c>
      <c r="BF5" s="40" t="s">
        <v>311</v>
      </c>
      <c r="BG5" s="40" t="s">
        <v>312</v>
      </c>
      <c r="BH5" s="40" t="s">
        <v>311</v>
      </c>
      <c r="BI5" s="40" t="s">
        <v>312</v>
      </c>
      <c r="BJ5" s="40" t="s">
        <v>311</v>
      </c>
      <c r="BK5" s="40" t="s">
        <v>312</v>
      </c>
      <c r="BL5" s="40" t="s">
        <v>311</v>
      </c>
      <c r="BM5" s="40" t="s">
        <v>312</v>
      </c>
      <c r="BN5" s="40" t="s">
        <v>311</v>
      </c>
      <c r="BO5" s="40" t="s">
        <v>312</v>
      </c>
    </row>
    <row r="6" spans="1:67" x14ac:dyDescent="0.25">
      <c r="A6" s="18" t="s">
        <v>313</v>
      </c>
      <c r="B6" s="18"/>
      <c r="C6" s="18"/>
      <c r="D6" s="18">
        <v>28063</v>
      </c>
      <c r="E6" s="18">
        <v>3685</v>
      </c>
      <c r="F6" s="18"/>
      <c r="G6" s="18"/>
      <c r="H6" s="18">
        <v>723275</v>
      </c>
      <c r="I6" s="18">
        <v>86953</v>
      </c>
      <c r="J6" s="18">
        <v>2724882</v>
      </c>
      <c r="K6" s="18">
        <v>187739</v>
      </c>
      <c r="L6" s="18">
        <v>321151</v>
      </c>
      <c r="M6" s="18">
        <v>27760</v>
      </c>
      <c r="N6" s="18">
        <v>65615</v>
      </c>
      <c r="O6" s="18">
        <v>8729</v>
      </c>
      <c r="P6" s="18">
        <v>78042</v>
      </c>
      <c r="Q6" s="18">
        <v>8511</v>
      </c>
      <c r="R6" s="18"/>
      <c r="S6" s="18"/>
      <c r="T6" s="18"/>
      <c r="U6" s="18"/>
      <c r="V6" s="18"/>
      <c r="W6" s="18"/>
      <c r="X6" s="18">
        <v>411909</v>
      </c>
      <c r="Y6" s="44">
        <v>49584.43</v>
      </c>
      <c r="Z6" s="18">
        <v>26353</v>
      </c>
      <c r="AA6" s="44">
        <v>3210.76</v>
      </c>
      <c r="AB6" s="18">
        <v>735109</v>
      </c>
      <c r="AC6" s="18">
        <v>77029.3</v>
      </c>
      <c r="AD6" s="18">
        <v>2377521</v>
      </c>
      <c r="AE6" s="18">
        <v>147061</v>
      </c>
      <c r="AF6" s="18">
        <v>3718855</v>
      </c>
      <c r="AG6" s="18">
        <v>147219.35999999999</v>
      </c>
      <c r="AH6" s="18">
        <v>7577</v>
      </c>
      <c r="AI6" s="18">
        <v>1020.22</v>
      </c>
      <c r="AJ6" s="18">
        <v>76508</v>
      </c>
      <c r="AK6" s="18">
        <v>8035</v>
      </c>
      <c r="AL6" s="18">
        <v>167230</v>
      </c>
      <c r="AM6" s="18">
        <v>12170</v>
      </c>
      <c r="AN6" s="18">
        <v>171250</v>
      </c>
      <c r="AO6" s="18">
        <v>33896</v>
      </c>
      <c r="AP6" s="35">
        <v>12445041</v>
      </c>
      <c r="AQ6" s="18">
        <v>636938.14659283706</v>
      </c>
      <c r="AR6" s="18">
        <v>3842658</v>
      </c>
      <c r="AS6" s="18">
        <v>283170</v>
      </c>
      <c r="AT6" s="18">
        <v>9929476</v>
      </c>
      <c r="AU6" s="18">
        <v>558207.47</v>
      </c>
      <c r="AV6" s="18">
        <v>16419</v>
      </c>
      <c r="AW6" s="18">
        <v>1644.1530789999999</v>
      </c>
      <c r="AX6" s="18">
        <v>2263460</v>
      </c>
      <c r="AY6" s="18">
        <v>132497</v>
      </c>
      <c r="AZ6" s="18">
        <v>240088</v>
      </c>
      <c r="BA6" s="18">
        <v>32989.599999999999</v>
      </c>
      <c r="BB6" s="18">
        <v>285470</v>
      </c>
      <c r="BC6" s="18">
        <v>36954</v>
      </c>
      <c r="BD6" s="18">
        <v>150983</v>
      </c>
      <c r="BE6" s="18">
        <v>20051.88</v>
      </c>
      <c r="BF6" s="18">
        <v>853633</v>
      </c>
      <c r="BG6" s="18">
        <v>54311.23</v>
      </c>
      <c r="BH6" s="18">
        <v>2918354</v>
      </c>
      <c r="BI6" s="18">
        <v>316127</v>
      </c>
      <c r="BJ6" s="18">
        <v>1206963</v>
      </c>
      <c r="BK6" s="18">
        <v>130210</v>
      </c>
      <c r="BL6" s="18">
        <v>14901560</v>
      </c>
      <c r="BM6" s="18">
        <v>811494</v>
      </c>
      <c r="BN6" s="18">
        <v>107682</v>
      </c>
      <c r="BO6" s="18">
        <v>11907</v>
      </c>
    </row>
    <row r="7" spans="1:67" x14ac:dyDescent="0.25">
      <c r="A7" s="18" t="s">
        <v>314</v>
      </c>
      <c r="B7" s="18"/>
      <c r="C7" s="18"/>
      <c r="D7" s="18">
        <v>29748</v>
      </c>
      <c r="E7" s="18">
        <v>2356</v>
      </c>
      <c r="F7" s="18"/>
      <c r="G7" s="18"/>
      <c r="H7" s="18">
        <v>96477</v>
      </c>
      <c r="I7" s="18">
        <v>28334</v>
      </c>
      <c r="J7" s="18">
        <v>3184486</v>
      </c>
      <c r="K7" s="18">
        <v>73268</v>
      </c>
      <c r="L7" s="18">
        <v>13046</v>
      </c>
      <c r="M7" s="18">
        <v>2587</v>
      </c>
      <c r="N7" s="18">
        <v>946836</v>
      </c>
      <c r="O7" s="18">
        <v>109978</v>
      </c>
      <c r="P7" s="18">
        <v>12390</v>
      </c>
      <c r="Q7" s="18">
        <v>4667</v>
      </c>
      <c r="R7" s="18"/>
      <c r="S7" s="18"/>
      <c r="T7" s="18"/>
      <c r="U7" s="18"/>
      <c r="V7" s="18"/>
      <c r="W7" s="18"/>
      <c r="X7" s="18">
        <v>490905</v>
      </c>
      <c r="Y7" s="44">
        <v>8986.4500000000007</v>
      </c>
      <c r="Z7" s="18"/>
      <c r="AA7" s="44"/>
      <c r="AB7" s="18">
        <v>2934159</v>
      </c>
      <c r="AC7" s="18">
        <v>145954.70000000001</v>
      </c>
      <c r="AD7" s="18">
        <v>1335031</v>
      </c>
      <c r="AE7" s="18">
        <v>89929</v>
      </c>
      <c r="AF7" s="18">
        <v>47578</v>
      </c>
      <c r="AG7" s="18">
        <v>1449.99</v>
      </c>
      <c r="AH7" s="18">
        <v>75385</v>
      </c>
      <c r="AI7" s="18">
        <v>8681.19</v>
      </c>
      <c r="AJ7" s="18">
        <v>29085</v>
      </c>
      <c r="AK7" s="18">
        <v>741</v>
      </c>
      <c r="AL7" s="18"/>
      <c r="AM7" s="18"/>
      <c r="AN7" s="18">
        <v>31233</v>
      </c>
      <c r="AO7" s="18">
        <v>10320</v>
      </c>
      <c r="AP7" s="35">
        <v>691873</v>
      </c>
      <c r="AQ7" s="18">
        <v>25391.999046328816</v>
      </c>
      <c r="AR7" s="18">
        <v>136429</v>
      </c>
      <c r="AS7" s="18">
        <v>9413</v>
      </c>
      <c r="AT7" s="18">
        <v>275747</v>
      </c>
      <c r="AU7" s="18">
        <v>11052.61</v>
      </c>
      <c r="AV7" s="18"/>
      <c r="AW7" s="18"/>
      <c r="AX7" s="18">
        <v>232083</v>
      </c>
      <c r="AY7" s="18">
        <v>15061</v>
      </c>
      <c r="AZ7" s="18">
        <v>138269</v>
      </c>
      <c r="BA7" s="18">
        <v>28396.9</v>
      </c>
      <c r="BB7" s="18">
        <v>63592</v>
      </c>
      <c r="BC7" s="18">
        <v>7956</v>
      </c>
      <c r="BD7" s="18">
        <v>2424737</v>
      </c>
      <c r="BE7" s="18">
        <v>162971.39000000001</v>
      </c>
      <c r="BF7" s="18">
        <v>19372</v>
      </c>
      <c r="BG7" s="18">
        <v>349.51</v>
      </c>
      <c r="BH7" s="18">
        <v>59596</v>
      </c>
      <c r="BI7" s="18">
        <v>5035</v>
      </c>
      <c r="BJ7" s="18">
        <v>725861</v>
      </c>
      <c r="BK7" s="18">
        <v>42508</v>
      </c>
      <c r="BL7" s="18">
        <v>1085162</v>
      </c>
      <c r="BM7" s="18">
        <v>51736</v>
      </c>
      <c r="BN7" s="18">
        <v>713457</v>
      </c>
      <c r="BO7" s="18">
        <v>35026</v>
      </c>
    </row>
    <row r="8" spans="1:67" x14ac:dyDescent="0.25">
      <c r="A8" s="18" t="s">
        <v>315</v>
      </c>
      <c r="B8" s="18"/>
      <c r="C8" s="18"/>
      <c r="D8" s="18">
        <v>1006</v>
      </c>
      <c r="E8" s="18">
        <v>111</v>
      </c>
      <c r="F8" s="18"/>
      <c r="G8" s="18"/>
      <c r="H8" s="18">
        <v>2970</v>
      </c>
      <c r="I8" s="18">
        <v>696</v>
      </c>
      <c r="J8" s="18">
        <v>1811342</v>
      </c>
      <c r="K8" s="18">
        <v>84833</v>
      </c>
      <c r="L8" s="18">
        <v>2493</v>
      </c>
      <c r="M8" s="18">
        <v>2248</v>
      </c>
      <c r="N8" s="18">
        <v>853178</v>
      </c>
      <c r="O8" s="18">
        <v>132375</v>
      </c>
      <c r="P8" s="18">
        <v>41924</v>
      </c>
      <c r="Q8" s="18">
        <v>7382</v>
      </c>
      <c r="R8" s="18">
        <v>134778</v>
      </c>
      <c r="S8" s="18">
        <v>14107</v>
      </c>
      <c r="T8" s="18"/>
      <c r="U8" s="18"/>
      <c r="V8" s="18"/>
      <c r="W8" s="18"/>
      <c r="X8" s="18">
        <v>63139</v>
      </c>
      <c r="Y8" s="44">
        <v>6475.04</v>
      </c>
      <c r="Z8" s="18">
        <v>1</v>
      </c>
      <c r="AA8" s="44">
        <v>0.12</v>
      </c>
      <c r="AB8" s="18">
        <v>206503</v>
      </c>
      <c r="AC8" s="18">
        <v>39440</v>
      </c>
      <c r="AD8" s="18">
        <v>4090693</v>
      </c>
      <c r="AE8" s="18">
        <v>96656</v>
      </c>
      <c r="AF8" s="18">
        <v>419000</v>
      </c>
      <c r="AG8" s="18">
        <v>15341.87</v>
      </c>
      <c r="AH8" s="18">
        <v>4874</v>
      </c>
      <c r="AI8" s="18">
        <v>921.06</v>
      </c>
      <c r="AJ8" s="18">
        <v>300</v>
      </c>
      <c r="AK8" s="18">
        <v>424</v>
      </c>
      <c r="AL8" s="18">
        <v>193758</v>
      </c>
      <c r="AM8" s="18">
        <v>15894</v>
      </c>
      <c r="AN8" s="18">
        <v>71</v>
      </c>
      <c r="AO8" s="18">
        <v>5231</v>
      </c>
      <c r="AP8" s="35">
        <v>5133529</v>
      </c>
      <c r="AQ8" s="18">
        <v>166140.42221308989</v>
      </c>
      <c r="AR8" s="18">
        <v>29788</v>
      </c>
      <c r="AS8" s="18">
        <v>3716</v>
      </c>
      <c r="AT8" s="18">
        <v>175162</v>
      </c>
      <c r="AU8" s="18">
        <v>7768.1</v>
      </c>
      <c r="AV8" s="18"/>
      <c r="AW8" s="18"/>
      <c r="AX8" s="18">
        <v>71847</v>
      </c>
      <c r="AY8" s="18">
        <v>30454</v>
      </c>
      <c r="AZ8" s="18">
        <v>8056</v>
      </c>
      <c r="BA8" s="18">
        <v>1089</v>
      </c>
      <c r="BB8" s="18">
        <v>138031</v>
      </c>
      <c r="BC8" s="18">
        <v>32706</v>
      </c>
      <c r="BD8" s="18">
        <v>2597</v>
      </c>
      <c r="BE8" s="18">
        <v>253.24</v>
      </c>
      <c r="BF8" s="18">
        <v>640195</v>
      </c>
      <c r="BG8" s="18">
        <v>126733.01</v>
      </c>
      <c r="BH8" s="18">
        <v>10664</v>
      </c>
      <c r="BI8" s="18">
        <v>1084</v>
      </c>
      <c r="BJ8" s="18">
        <v>1684760</v>
      </c>
      <c r="BK8" s="18">
        <v>35205</v>
      </c>
      <c r="BL8" s="18">
        <v>81050</v>
      </c>
      <c r="BM8" s="18">
        <v>8750</v>
      </c>
      <c r="BN8" s="18">
        <v>338</v>
      </c>
      <c r="BO8" s="18">
        <v>68</v>
      </c>
    </row>
    <row r="9" spans="1:67" x14ac:dyDescent="0.25">
      <c r="A9" s="18" t="s">
        <v>316</v>
      </c>
      <c r="B9" s="18"/>
      <c r="C9" s="18"/>
      <c r="D9" s="18">
        <v>9826</v>
      </c>
      <c r="E9" s="18">
        <v>16442</v>
      </c>
      <c r="F9" s="18">
        <v>921874</v>
      </c>
      <c r="G9" s="18">
        <v>22387.279999999999</v>
      </c>
      <c r="H9" s="18">
        <v>64471</v>
      </c>
      <c r="I9" s="18">
        <v>30444</v>
      </c>
      <c r="J9" s="18">
        <v>3440553</v>
      </c>
      <c r="K9" s="18">
        <v>304323</v>
      </c>
      <c r="L9" s="18">
        <v>490082</v>
      </c>
      <c r="M9" s="18">
        <v>68295</v>
      </c>
      <c r="N9" s="18">
        <v>408213</v>
      </c>
      <c r="O9" s="18">
        <v>44530</v>
      </c>
      <c r="P9" s="18">
        <v>37165</v>
      </c>
      <c r="Q9" s="18">
        <v>9860</v>
      </c>
      <c r="R9" s="18"/>
      <c r="S9" s="18"/>
      <c r="T9" s="18">
        <v>1</v>
      </c>
      <c r="U9" s="18">
        <v>12.4</v>
      </c>
      <c r="V9" s="18">
        <v>212</v>
      </c>
      <c r="W9" s="18">
        <v>5112.8100000000004</v>
      </c>
      <c r="X9" s="18">
        <v>654816</v>
      </c>
      <c r="Y9" s="44">
        <v>61725.41</v>
      </c>
      <c r="Z9" s="18">
        <v>12443</v>
      </c>
      <c r="AA9" s="44">
        <v>1894.15</v>
      </c>
      <c r="AB9" s="18">
        <v>1188401</v>
      </c>
      <c r="AC9" s="18">
        <v>157531.5</v>
      </c>
      <c r="AD9" s="18">
        <v>8747500</v>
      </c>
      <c r="AE9" s="18">
        <v>418978</v>
      </c>
      <c r="AF9" s="18">
        <v>1495567</v>
      </c>
      <c r="AG9" s="18">
        <v>208546.99</v>
      </c>
      <c r="AH9" s="18">
        <v>43294</v>
      </c>
      <c r="AI9" s="18">
        <v>3354.04</v>
      </c>
      <c r="AJ9" s="18">
        <v>453040</v>
      </c>
      <c r="AK9" s="18">
        <v>44534</v>
      </c>
      <c r="AL9" s="18">
        <v>75685</v>
      </c>
      <c r="AM9" s="18">
        <v>11325</v>
      </c>
      <c r="AN9" s="18">
        <v>37036</v>
      </c>
      <c r="AO9" s="18">
        <v>6391</v>
      </c>
      <c r="AP9" s="35">
        <v>740121</v>
      </c>
      <c r="AQ9" s="18">
        <v>260844.55955392073</v>
      </c>
      <c r="AR9" s="18">
        <v>997502</v>
      </c>
      <c r="AS9" s="18">
        <v>155606</v>
      </c>
      <c r="AT9" s="18">
        <v>353524</v>
      </c>
      <c r="AU9" s="18">
        <v>246728.45</v>
      </c>
      <c r="AV9" s="18">
        <v>18314</v>
      </c>
      <c r="AW9" s="18">
        <v>4643.4902419999999</v>
      </c>
      <c r="AX9" s="18">
        <v>918279</v>
      </c>
      <c r="AY9" s="18">
        <v>105293</v>
      </c>
      <c r="AZ9" s="18">
        <v>119516</v>
      </c>
      <c r="BA9" s="18">
        <v>33825.4</v>
      </c>
      <c r="BB9" s="18">
        <v>985627</v>
      </c>
      <c r="BC9" s="18">
        <v>151977</v>
      </c>
      <c r="BD9" s="18">
        <v>395207</v>
      </c>
      <c r="BE9" s="18">
        <v>85375.14</v>
      </c>
      <c r="BF9" s="18">
        <v>124820</v>
      </c>
      <c r="BG9" s="18">
        <v>8699.19</v>
      </c>
      <c r="BH9" s="18">
        <v>40928</v>
      </c>
      <c r="BI9" s="18">
        <v>24574</v>
      </c>
      <c r="BJ9" s="18">
        <v>1933153</v>
      </c>
      <c r="BK9" s="18">
        <v>197227</v>
      </c>
      <c r="BL9" s="18">
        <v>1204518</v>
      </c>
      <c r="BM9" s="18">
        <v>399370</v>
      </c>
      <c r="BN9" s="18">
        <v>377102</v>
      </c>
      <c r="BO9" s="18">
        <v>45731</v>
      </c>
    </row>
    <row r="10" spans="1:67" x14ac:dyDescent="0.25">
      <c r="A10" s="18" t="s">
        <v>317</v>
      </c>
      <c r="B10" s="18"/>
      <c r="C10" s="18"/>
      <c r="D10" s="18"/>
      <c r="E10" s="18"/>
      <c r="F10" s="18">
        <v>96683</v>
      </c>
      <c r="G10" s="18">
        <v>4998.2299999999996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>
        <v>1</v>
      </c>
      <c r="Y10" s="44">
        <v>6.69</v>
      </c>
      <c r="Z10" s="18"/>
      <c r="AA10" s="44"/>
      <c r="AB10" s="18">
        <v>4</v>
      </c>
      <c r="AC10" s="18">
        <v>6.2</v>
      </c>
      <c r="AE10" s="18"/>
      <c r="AF10" s="18">
        <v>2030</v>
      </c>
      <c r="AG10" s="18">
        <v>46.91</v>
      </c>
      <c r="AH10" s="18"/>
      <c r="AI10" s="18"/>
      <c r="AJ10" s="18"/>
      <c r="AK10" s="18"/>
      <c r="AL10" s="18"/>
      <c r="AM10" s="18"/>
      <c r="AN10" s="18"/>
      <c r="AO10" s="18"/>
      <c r="AP10" s="35">
        <v>2</v>
      </c>
      <c r="AQ10" s="18">
        <v>-0.13350378338012001</v>
      </c>
      <c r="AR10" s="18">
        <v>810</v>
      </c>
      <c r="AS10" s="18">
        <v>21</v>
      </c>
      <c r="AT10" s="18">
        <v>0</v>
      </c>
      <c r="AU10" s="18">
        <v>0</v>
      </c>
      <c r="AV10" s="18"/>
      <c r="AW10" s="18"/>
      <c r="AX10" s="18"/>
      <c r="AY10" s="18"/>
      <c r="AZ10" s="18">
        <v>99</v>
      </c>
      <c r="BA10" s="18">
        <v>551.1</v>
      </c>
      <c r="BB10" s="18">
        <v>63</v>
      </c>
      <c r="BC10" s="18">
        <v>8</v>
      </c>
      <c r="BD10" s="18"/>
      <c r="BE10" s="18"/>
      <c r="BF10" s="18">
        <v>0</v>
      </c>
      <c r="BG10" s="18">
        <v>0</v>
      </c>
      <c r="BH10" s="18"/>
      <c r="BI10" s="18"/>
      <c r="BJ10" s="18"/>
      <c r="BK10" s="18"/>
      <c r="BL10" s="18">
        <v>626</v>
      </c>
      <c r="BM10" s="18">
        <v>31</v>
      </c>
      <c r="BN10" s="18"/>
      <c r="BO10" s="18"/>
    </row>
    <row r="11" spans="1:67" x14ac:dyDescent="0.25">
      <c r="A11" s="18" t="s">
        <v>318</v>
      </c>
      <c r="B11" s="18">
        <v>1280</v>
      </c>
      <c r="C11" s="18">
        <v>92</v>
      </c>
      <c r="D11" s="18">
        <v>10795</v>
      </c>
      <c r="E11" s="18">
        <v>1722</v>
      </c>
      <c r="F11" s="18">
        <v>121112</v>
      </c>
      <c r="G11" s="18">
        <v>5983.64</v>
      </c>
      <c r="H11" s="18">
        <v>141685</v>
      </c>
      <c r="I11" s="18">
        <v>23304</v>
      </c>
      <c r="J11" s="18">
        <v>1870342</v>
      </c>
      <c r="K11" s="18">
        <v>294359</v>
      </c>
      <c r="L11" s="18">
        <v>939659</v>
      </c>
      <c r="M11" s="18">
        <v>74474</v>
      </c>
      <c r="N11" s="18">
        <v>204128</v>
      </c>
      <c r="O11" s="18">
        <v>114646</v>
      </c>
      <c r="P11" s="18">
        <v>33951</v>
      </c>
      <c r="Q11" s="18">
        <v>4221</v>
      </c>
      <c r="R11" s="18"/>
      <c r="S11" s="18"/>
      <c r="T11" s="18">
        <v>352</v>
      </c>
      <c r="U11" s="18">
        <v>117.9</v>
      </c>
      <c r="V11" s="18">
        <v>3692</v>
      </c>
      <c r="W11" s="18">
        <v>31721.37</v>
      </c>
      <c r="X11" s="18">
        <v>372344</v>
      </c>
      <c r="Y11" s="44">
        <v>61876.05</v>
      </c>
      <c r="Z11" s="18">
        <v>18231</v>
      </c>
      <c r="AA11" s="44">
        <v>4268.9799999999996</v>
      </c>
      <c r="AB11" s="18">
        <v>796492</v>
      </c>
      <c r="AC11" s="18">
        <v>291743.7</v>
      </c>
      <c r="AD11" s="18">
        <f>4725160+1529115</f>
        <v>6254275</v>
      </c>
      <c r="AE11" s="18">
        <f>442184+23587</f>
        <v>465771</v>
      </c>
      <c r="AF11" s="18">
        <v>1287853</v>
      </c>
      <c r="AG11" s="18">
        <v>190584.16</v>
      </c>
      <c r="AH11" s="18">
        <v>72221</v>
      </c>
      <c r="AI11" s="18">
        <v>1992.78</v>
      </c>
      <c r="AJ11" s="18">
        <v>278798</v>
      </c>
      <c r="AK11" s="18">
        <v>20361</v>
      </c>
      <c r="AL11" s="18">
        <v>162339</v>
      </c>
      <c r="AM11" s="18">
        <v>9887</v>
      </c>
      <c r="AN11" s="18">
        <v>91286</v>
      </c>
      <c r="AO11" s="18">
        <v>19609</v>
      </c>
      <c r="AP11" s="35">
        <v>643800</v>
      </c>
      <c r="AQ11" s="18">
        <v>512449.25736279524</v>
      </c>
      <c r="AR11" s="18">
        <v>3102529</v>
      </c>
      <c r="AS11" s="18">
        <v>166017.31</v>
      </c>
      <c r="AT11" s="18">
        <v>768564</v>
      </c>
      <c r="AU11" s="18">
        <v>321439.90999999997</v>
      </c>
      <c r="AV11" s="18">
        <v>20482</v>
      </c>
      <c r="AW11" s="18">
        <v>2057.4203680000001</v>
      </c>
      <c r="AX11" s="18">
        <v>1068773</v>
      </c>
      <c r="AY11" s="18">
        <v>215365</v>
      </c>
      <c r="AZ11" s="18">
        <v>155147</v>
      </c>
      <c r="BA11" s="18">
        <v>12309.3</v>
      </c>
      <c r="BB11" s="18">
        <v>298397</v>
      </c>
      <c r="BC11" s="18">
        <v>32743</v>
      </c>
      <c r="BD11" s="18">
        <v>48904</v>
      </c>
      <c r="BE11" s="18">
        <v>85712.84</v>
      </c>
      <c r="BF11" s="18">
        <v>446239</v>
      </c>
      <c r="BG11" s="18">
        <v>19983.39</v>
      </c>
      <c r="BH11" s="18">
        <v>564615</v>
      </c>
      <c r="BI11" s="18">
        <v>69292</v>
      </c>
      <c r="BJ11" s="18">
        <v>1761745</v>
      </c>
      <c r="BK11" s="18">
        <v>132088</v>
      </c>
      <c r="BL11" s="18">
        <v>1269575</v>
      </c>
      <c r="BM11" s="18">
        <v>394137</v>
      </c>
      <c r="BN11" s="18">
        <v>81412</v>
      </c>
      <c r="BO11" s="18">
        <v>138355</v>
      </c>
    </row>
    <row r="12" spans="1:67" x14ac:dyDescent="0.25">
      <c r="A12" s="18" t="s">
        <v>132</v>
      </c>
      <c r="B12" s="18"/>
      <c r="C12" s="18"/>
      <c r="D12" s="18"/>
      <c r="E12" s="18"/>
      <c r="F12" s="18">
        <v>10593762</v>
      </c>
      <c r="G12" s="18">
        <v>755969.86</v>
      </c>
      <c r="H12" s="18">
        <f>H13-H11-H9-H8-H7-H6</f>
        <v>22181</v>
      </c>
      <c r="I12" s="18">
        <f>I13-I11-I9-I8-I7-I6</f>
        <v>2020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>
        <v>18329</v>
      </c>
      <c r="Y12" s="44">
        <v>1871.14</v>
      </c>
      <c r="Z12" s="18"/>
      <c r="AA12" s="18"/>
      <c r="AB12" s="18">
        <v>643334</v>
      </c>
      <c r="AC12" s="18">
        <v>17291.599999999999</v>
      </c>
      <c r="AD12" s="18">
        <v>714843</v>
      </c>
      <c r="AE12" s="18">
        <v>17289</v>
      </c>
      <c r="AF12" s="18"/>
      <c r="AG12" s="18"/>
      <c r="AH12" s="18">
        <f>AH13-AH11-AH9-AH8-AH7-AH6</f>
        <v>48779</v>
      </c>
      <c r="AI12" s="18">
        <f>AI13-AI11-AI9-AI8-AI7-AI6</f>
        <v>2569.8600000000015</v>
      </c>
      <c r="AJ12" s="18">
        <v>147087</v>
      </c>
      <c r="AK12" s="18">
        <v>7559</v>
      </c>
      <c r="AL12" s="18">
        <v>65337</v>
      </c>
      <c r="AM12" s="18">
        <v>3393</v>
      </c>
      <c r="AN12" s="18"/>
      <c r="AO12" s="18"/>
      <c r="AP12" s="35">
        <v>121746</v>
      </c>
      <c r="AQ12" s="18">
        <v>17590.394059864389</v>
      </c>
      <c r="AR12" s="18"/>
      <c r="AS12" s="18"/>
      <c r="AT12" s="18"/>
      <c r="AU12" s="18"/>
      <c r="AV12" s="18"/>
      <c r="AW12" s="18"/>
      <c r="AX12" s="18">
        <f>AX13-AX11-AX9-AX8-AX7-AX6</f>
        <v>169619</v>
      </c>
      <c r="AY12" s="18">
        <f>AY13-AY11-AY9-AY8-AY7-AY6</f>
        <v>8238</v>
      </c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>
        <v>83707</v>
      </c>
      <c r="BK12" s="18">
        <v>6353</v>
      </c>
      <c r="BL12" s="18">
        <v>296269</v>
      </c>
      <c r="BM12" s="18">
        <v>77476</v>
      </c>
      <c r="BN12" s="18"/>
      <c r="BO12" s="18"/>
    </row>
    <row r="13" spans="1:67" x14ac:dyDescent="0.25">
      <c r="A13" s="21" t="s">
        <v>319</v>
      </c>
      <c r="B13" s="21">
        <v>1280</v>
      </c>
      <c r="C13" s="21">
        <v>92</v>
      </c>
      <c r="D13" s="21">
        <v>79438</v>
      </c>
      <c r="E13" s="21">
        <v>24317</v>
      </c>
      <c r="F13" s="21">
        <v>11733431</v>
      </c>
      <c r="G13" s="21">
        <v>789339.01</v>
      </c>
      <c r="H13" s="21">
        <v>1051059</v>
      </c>
      <c r="I13" s="21">
        <v>171751</v>
      </c>
      <c r="J13" s="21">
        <v>13031605</v>
      </c>
      <c r="K13" s="21">
        <v>944522</v>
      </c>
      <c r="L13" s="21">
        <v>1766431</v>
      </c>
      <c r="M13" s="21">
        <v>175365</v>
      </c>
      <c r="N13" s="21">
        <v>2477969</v>
      </c>
      <c r="O13" s="21">
        <v>410257</v>
      </c>
      <c r="P13" s="21">
        <v>203472</v>
      </c>
      <c r="Q13" s="21">
        <v>34640</v>
      </c>
      <c r="R13" s="21">
        <v>134778</v>
      </c>
      <c r="S13" s="21">
        <v>14107</v>
      </c>
      <c r="T13" s="21">
        <v>353</v>
      </c>
      <c r="U13" s="21">
        <v>130.30000000000001</v>
      </c>
      <c r="V13" s="21">
        <v>3904</v>
      </c>
      <c r="W13" s="21">
        <v>36834</v>
      </c>
      <c r="X13" s="21">
        <v>2011443</v>
      </c>
      <c r="Y13" s="52">
        <v>190525.22</v>
      </c>
      <c r="Z13" s="21">
        <v>57028</v>
      </c>
      <c r="AA13" s="21">
        <v>9374</v>
      </c>
      <c r="AB13" s="21">
        <v>6504002</v>
      </c>
      <c r="AC13" s="21">
        <v>728997</v>
      </c>
      <c r="AD13" s="21">
        <v>23519863</v>
      </c>
      <c r="AE13" s="21">
        <v>1235685</v>
      </c>
      <c r="AF13" s="21">
        <v>6970883</v>
      </c>
      <c r="AG13" s="21">
        <v>563189.29</v>
      </c>
      <c r="AH13" s="21">
        <v>252130</v>
      </c>
      <c r="AI13" s="21">
        <v>18539.150000000001</v>
      </c>
      <c r="AJ13" s="21">
        <v>984818</v>
      </c>
      <c r="AK13" s="21">
        <v>81653</v>
      </c>
      <c r="AL13" s="21">
        <v>664349</v>
      </c>
      <c r="AM13" s="21">
        <v>52669</v>
      </c>
      <c r="AN13" s="21">
        <v>330876</v>
      </c>
      <c r="AO13" s="21">
        <v>75447</v>
      </c>
      <c r="AP13" s="21">
        <v>19776112</v>
      </c>
      <c r="AQ13" s="21">
        <v>1619354.6453250526</v>
      </c>
      <c r="AR13" s="21">
        <v>8109716</v>
      </c>
      <c r="AS13" s="21">
        <v>617943.31000000006</v>
      </c>
      <c r="AT13" s="21">
        <v>11502473</v>
      </c>
      <c r="AU13" s="21">
        <v>1145196.5423000001</v>
      </c>
      <c r="AV13" s="21">
        <v>55215</v>
      </c>
      <c r="AW13" s="21">
        <v>8345.06</v>
      </c>
      <c r="AX13" s="21">
        <v>4724061</v>
      </c>
      <c r="AY13" s="21">
        <v>506908</v>
      </c>
      <c r="AZ13" s="21">
        <v>661175</v>
      </c>
      <c r="BA13" s="21">
        <v>109161.3</v>
      </c>
      <c r="BB13" s="21">
        <v>1771180</v>
      </c>
      <c r="BC13" s="21">
        <v>262344</v>
      </c>
      <c r="BD13" s="21">
        <v>3022428</v>
      </c>
      <c r="BE13" s="21">
        <v>354364.51</v>
      </c>
      <c r="BF13" s="21">
        <v>2084259</v>
      </c>
      <c r="BG13" s="21">
        <v>210076.33</v>
      </c>
      <c r="BH13" s="21">
        <v>3594157</v>
      </c>
      <c r="BI13" s="21">
        <v>416111</v>
      </c>
      <c r="BJ13" s="21">
        <v>7396189</v>
      </c>
      <c r="BK13" s="21">
        <v>543592</v>
      </c>
      <c r="BL13" s="21">
        <v>18838760</v>
      </c>
      <c r="BM13" s="21">
        <v>1742993</v>
      </c>
      <c r="BN13" s="21">
        <v>1279991</v>
      </c>
      <c r="BO13" s="21">
        <v>231086</v>
      </c>
    </row>
    <row r="14" spans="1:67" x14ac:dyDescent="0.25">
      <c r="A14" s="18" t="s">
        <v>320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>
        <v>2718</v>
      </c>
      <c r="Y14" s="44">
        <v>112.28</v>
      </c>
      <c r="Z14" s="18"/>
      <c r="AA14" s="18"/>
      <c r="AB14" s="18"/>
      <c r="AC14" s="18"/>
      <c r="AD14" s="18"/>
      <c r="AE14" s="18"/>
      <c r="AF14" s="18"/>
      <c r="AG14" s="18">
        <v>-0.13</v>
      </c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>
        <v>0</v>
      </c>
      <c r="AS14" s="18">
        <v>0</v>
      </c>
      <c r="AT14" s="18">
        <v>0</v>
      </c>
      <c r="AU14" s="18">
        <v>0</v>
      </c>
      <c r="AV14" s="18"/>
      <c r="AW14" s="18"/>
      <c r="AX14" s="18"/>
      <c r="AY14" s="18"/>
      <c r="AZ14" s="18"/>
      <c r="BA14" s="18"/>
      <c r="BB14" s="18"/>
      <c r="BC14" s="18"/>
      <c r="BD14">
        <v>471</v>
      </c>
      <c r="BE14" s="18">
        <v>55.52</v>
      </c>
      <c r="BF14" s="18">
        <v>0</v>
      </c>
      <c r="BG14" s="18">
        <v>0</v>
      </c>
      <c r="BH14" s="18"/>
      <c r="BI14" s="18"/>
      <c r="BJ14" s="18"/>
      <c r="BK14" s="18"/>
      <c r="BL14" s="18"/>
      <c r="BM14" s="18"/>
      <c r="BN14" s="18"/>
      <c r="BO14" s="18"/>
    </row>
    <row r="15" spans="1:67" x14ac:dyDescent="0.25">
      <c r="A15" s="21" t="s">
        <v>321</v>
      </c>
      <c r="B15" s="21">
        <v>1280</v>
      </c>
      <c r="C15" s="21">
        <v>92</v>
      </c>
      <c r="D15" s="21">
        <v>79438</v>
      </c>
      <c r="E15" s="21">
        <v>24317</v>
      </c>
      <c r="F15" s="21">
        <v>11733431</v>
      </c>
      <c r="G15" s="21">
        <v>789339.01</v>
      </c>
      <c r="H15" s="21">
        <v>1051059</v>
      </c>
      <c r="I15" s="21">
        <v>171751</v>
      </c>
      <c r="J15" s="21"/>
      <c r="K15" s="21"/>
      <c r="L15" s="21">
        <v>1766431</v>
      </c>
      <c r="M15" s="21">
        <v>175365</v>
      </c>
      <c r="N15" s="21">
        <v>2477969</v>
      </c>
      <c r="O15" s="21">
        <v>410257</v>
      </c>
      <c r="P15" s="21">
        <v>203472</v>
      </c>
      <c r="Q15" s="21">
        <v>34640</v>
      </c>
      <c r="R15" s="21">
        <v>134778</v>
      </c>
      <c r="S15" s="21">
        <v>14107</v>
      </c>
      <c r="T15" s="21">
        <v>353</v>
      </c>
      <c r="U15" s="21">
        <v>130.30000000000001</v>
      </c>
      <c r="V15" s="21">
        <v>3904</v>
      </c>
      <c r="W15" s="21">
        <v>36834.18</v>
      </c>
      <c r="X15" s="21">
        <v>2014161</v>
      </c>
      <c r="Y15" s="52">
        <v>190637.5</v>
      </c>
      <c r="Z15" s="21">
        <v>57028</v>
      </c>
      <c r="AA15" s="21">
        <v>9374</v>
      </c>
      <c r="AB15" s="21">
        <v>6504002</v>
      </c>
      <c r="AC15" s="21">
        <v>728997</v>
      </c>
      <c r="AD15" s="21">
        <v>23519863</v>
      </c>
      <c r="AE15" s="21">
        <v>1235685</v>
      </c>
      <c r="AF15" s="21">
        <v>6970883</v>
      </c>
      <c r="AG15" s="21">
        <v>563189.16</v>
      </c>
      <c r="AH15" s="21">
        <v>252130</v>
      </c>
      <c r="AI15" s="21">
        <v>18539.150000000001</v>
      </c>
      <c r="AJ15" s="21">
        <v>984818</v>
      </c>
      <c r="AK15" s="21">
        <v>81653</v>
      </c>
      <c r="AL15" s="21">
        <v>664349</v>
      </c>
      <c r="AM15" s="21">
        <v>52669</v>
      </c>
      <c r="AN15" s="21">
        <v>330876</v>
      </c>
      <c r="AO15" s="21">
        <v>75447</v>
      </c>
      <c r="AP15" s="21">
        <v>19776112</v>
      </c>
      <c r="AQ15" s="21">
        <v>1619354.6453250526</v>
      </c>
      <c r="AR15" s="21">
        <v>8109716</v>
      </c>
      <c r="AS15" s="21">
        <v>617943.31000000006</v>
      </c>
      <c r="AT15" s="21">
        <v>11502473</v>
      </c>
      <c r="AU15" s="21">
        <v>1145196.5423000001</v>
      </c>
      <c r="AV15" s="21">
        <v>55215</v>
      </c>
      <c r="AW15" s="21">
        <v>8345.06</v>
      </c>
      <c r="AX15" s="21">
        <v>4724061</v>
      </c>
      <c r="AY15" s="21">
        <v>506908</v>
      </c>
      <c r="AZ15" s="21">
        <v>661175</v>
      </c>
      <c r="BA15" s="21">
        <v>109161.3</v>
      </c>
      <c r="BB15" s="21">
        <v>1771180</v>
      </c>
      <c r="BC15" s="21">
        <v>262344</v>
      </c>
      <c r="BD15" s="21">
        <v>3022899</v>
      </c>
      <c r="BE15" s="21">
        <v>354420.03</v>
      </c>
      <c r="BF15" s="21">
        <v>2084259</v>
      </c>
      <c r="BG15" s="21">
        <v>210076.33</v>
      </c>
      <c r="BH15" s="21">
        <v>3594157</v>
      </c>
      <c r="BI15" s="21">
        <v>416111</v>
      </c>
      <c r="BJ15" s="21">
        <v>7396189</v>
      </c>
      <c r="BK15" s="21">
        <v>543592</v>
      </c>
      <c r="BL15" s="21">
        <v>18838760</v>
      </c>
      <c r="BM15" s="21">
        <v>1742993</v>
      </c>
      <c r="BN15" s="21">
        <v>1279991</v>
      </c>
      <c r="BO15" s="21">
        <v>231086</v>
      </c>
    </row>
  </sheetData>
  <mergeCells count="66">
    <mergeCell ref="BN4:BO4"/>
    <mergeCell ref="BH4:BI4"/>
    <mergeCell ref="BJ4:BK4"/>
    <mergeCell ref="BL4:BM4"/>
    <mergeCell ref="BB4:BC4"/>
    <mergeCell ref="BD4:BE4"/>
    <mergeCell ref="BF4:BG4"/>
    <mergeCell ref="AX4:AY4"/>
    <mergeCell ref="AZ4:BA4"/>
    <mergeCell ref="AR4:AS4"/>
    <mergeCell ref="AT4:AU4"/>
    <mergeCell ref="AV4:AW4"/>
    <mergeCell ref="AL4:AM4"/>
    <mergeCell ref="AN4:AO4"/>
    <mergeCell ref="AP4:AQ4"/>
    <mergeCell ref="AF4:AG4"/>
    <mergeCell ref="AH4:AI4"/>
    <mergeCell ref="AJ4:AK4"/>
    <mergeCell ref="Z4:AA4"/>
    <mergeCell ref="AB4:AC4"/>
    <mergeCell ref="AD4:AE4"/>
    <mergeCell ref="L4:M4"/>
    <mergeCell ref="T4:U4"/>
    <mergeCell ref="V4:W4"/>
    <mergeCell ref="X4:Y4"/>
    <mergeCell ref="N4:O4"/>
    <mergeCell ref="P4:Q4"/>
    <mergeCell ref="R4:S4"/>
    <mergeCell ref="B4:C4"/>
    <mergeCell ref="D4:E4"/>
    <mergeCell ref="F4:G4"/>
    <mergeCell ref="H4:I4"/>
    <mergeCell ref="J4:K4"/>
    <mergeCell ref="BD3:BE3"/>
    <mergeCell ref="AX3:AY3"/>
    <mergeCell ref="J3:K3"/>
    <mergeCell ref="L3:M3"/>
    <mergeCell ref="R3:S3"/>
    <mergeCell ref="V3:W3"/>
    <mergeCell ref="T3:U3"/>
    <mergeCell ref="BH3:BI3"/>
    <mergeCell ref="BL3:BM3"/>
    <mergeCell ref="BN3:BO3"/>
    <mergeCell ref="BJ3:BK3"/>
    <mergeCell ref="BF3:BG3"/>
    <mergeCell ref="X3:Y3"/>
    <mergeCell ref="AH3:AI3"/>
    <mergeCell ref="AP3:AQ3"/>
    <mergeCell ref="AV3:AW3"/>
    <mergeCell ref="BB3:BC3"/>
    <mergeCell ref="AT3:AU3"/>
    <mergeCell ref="AZ3:BA3"/>
    <mergeCell ref="B3:C3"/>
    <mergeCell ref="D3:E3"/>
    <mergeCell ref="F3:G3"/>
    <mergeCell ref="H3:I3"/>
    <mergeCell ref="P3:Q3"/>
    <mergeCell ref="N3:O3"/>
    <mergeCell ref="AR3:AS3"/>
    <mergeCell ref="AN3:AO3"/>
    <mergeCell ref="AL3:AM3"/>
    <mergeCell ref="AJ3:AK3"/>
    <mergeCell ref="AF3:AG3"/>
    <mergeCell ref="Z3:AA3"/>
    <mergeCell ref="AB3:AC3"/>
    <mergeCell ref="AD3:A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41.85546875" style="6" customWidth="1"/>
    <col min="2" max="7" width="14.140625" style="4" customWidth="1"/>
    <col min="8" max="8" width="14.85546875" style="4" customWidth="1"/>
    <col min="9" max="12" width="14.140625" style="4" customWidth="1"/>
    <col min="13" max="13" width="15.42578125" style="4" customWidth="1"/>
    <col min="14" max="25" width="14.140625" style="4" customWidth="1"/>
    <col min="26" max="26" width="16.28515625" style="4" bestFit="1" customWidth="1"/>
    <col min="27" max="27" width="14.140625" style="4" customWidth="1"/>
    <col min="28" max="28" width="15.28515625" style="4" bestFit="1" customWidth="1"/>
    <col min="29" max="33" width="14.140625" style="4" customWidth="1"/>
    <col min="34" max="34" width="16.140625" style="4" bestFit="1" customWidth="1"/>
    <col min="35" max="35" width="14.140625" style="4" customWidth="1"/>
    <col min="36" max="16384" width="9.140625" style="4"/>
  </cols>
  <sheetData>
    <row r="1" spans="1:37" s="14" customFormat="1" ht="18.75" x14ac:dyDescent="0.3">
      <c r="A1" s="50" t="s">
        <v>157</v>
      </c>
    </row>
    <row r="2" spans="1:37" x14ac:dyDescent="0.25">
      <c r="A2" s="6" t="s">
        <v>42</v>
      </c>
    </row>
    <row r="3" spans="1:37" s="12" customFormat="1" x14ac:dyDescent="0.25">
      <c r="A3" s="20" t="s">
        <v>0</v>
      </c>
      <c r="B3" s="130" t="s">
        <v>1</v>
      </c>
      <c r="C3" s="130" t="s">
        <v>2</v>
      </c>
      <c r="D3" s="130" t="s">
        <v>3</v>
      </c>
      <c r="E3" s="130" t="s">
        <v>4</v>
      </c>
      <c r="F3" s="130" t="s">
        <v>5</v>
      </c>
      <c r="G3" s="130" t="s">
        <v>6</v>
      </c>
      <c r="H3" s="130" t="s">
        <v>7</v>
      </c>
      <c r="I3" s="130" t="s">
        <v>8</v>
      </c>
      <c r="J3" s="130" t="s">
        <v>9</v>
      </c>
      <c r="K3" s="130" t="s">
        <v>10</v>
      </c>
      <c r="L3" s="130" t="s">
        <v>11</v>
      </c>
      <c r="M3" s="130" t="s">
        <v>12</v>
      </c>
      <c r="N3" s="130" t="s">
        <v>13</v>
      </c>
      <c r="O3" s="130" t="s">
        <v>14</v>
      </c>
      <c r="P3" s="130" t="s">
        <v>15</v>
      </c>
      <c r="Q3" s="130" t="s">
        <v>16</v>
      </c>
      <c r="R3" s="130" t="s">
        <v>17</v>
      </c>
      <c r="S3" s="130" t="s">
        <v>18</v>
      </c>
      <c r="T3" s="130" t="s">
        <v>19</v>
      </c>
      <c r="U3" s="130" t="s">
        <v>20</v>
      </c>
      <c r="V3" s="130" t="s">
        <v>21</v>
      </c>
      <c r="W3" s="130" t="s">
        <v>109</v>
      </c>
      <c r="X3" s="130" t="s">
        <v>110</v>
      </c>
      <c r="Y3" s="130" t="s">
        <v>22</v>
      </c>
      <c r="Z3" s="130" t="s">
        <v>23</v>
      </c>
      <c r="AA3" s="130" t="s">
        <v>24</v>
      </c>
      <c r="AB3" s="130" t="s">
        <v>25</v>
      </c>
      <c r="AC3" s="130" t="s">
        <v>26</v>
      </c>
      <c r="AD3" s="130" t="s">
        <v>27</v>
      </c>
      <c r="AE3" s="130" t="s">
        <v>28</v>
      </c>
      <c r="AF3" s="130" t="s">
        <v>29</v>
      </c>
      <c r="AG3" s="130" t="s">
        <v>30</v>
      </c>
      <c r="AH3" s="130" t="s">
        <v>31</v>
      </c>
      <c r="AI3" s="130" t="s">
        <v>150</v>
      </c>
    </row>
    <row r="4" spans="1:37" s="12" customFormat="1" x14ac:dyDescent="0.25">
      <c r="A4" s="20" t="s">
        <v>43</v>
      </c>
      <c r="B4" s="59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21"/>
    </row>
    <row r="5" spans="1:37" x14ac:dyDescent="0.25">
      <c r="A5" s="22" t="s">
        <v>44</v>
      </c>
      <c r="B5" s="57"/>
      <c r="C5" s="25"/>
      <c r="D5" s="25"/>
      <c r="E5" s="25"/>
      <c r="F5" s="25">
        <v>687365</v>
      </c>
      <c r="G5" s="25">
        <v>34518</v>
      </c>
      <c r="H5" s="55">
        <v>506007</v>
      </c>
      <c r="I5" s="25"/>
      <c r="J5" s="25">
        <v>-145172</v>
      </c>
      <c r="K5" s="25"/>
      <c r="L5" s="25"/>
      <c r="M5" s="25">
        <v>146853</v>
      </c>
      <c r="N5" s="25">
        <v>-7027</v>
      </c>
      <c r="O5" s="25">
        <v>-134501</v>
      </c>
      <c r="P5" s="25">
        <v>1328111</v>
      </c>
      <c r="Q5" s="25">
        <v>28899</v>
      </c>
      <c r="R5" s="25">
        <v>3939</v>
      </c>
      <c r="S5" s="25">
        <v>-49040</v>
      </c>
      <c r="T5" s="25">
        <v>-161892</v>
      </c>
      <c r="U5" s="25"/>
      <c r="V5" s="41">
        <v>-1904456.0034853574</v>
      </c>
      <c r="W5" s="41">
        <v>4293655</v>
      </c>
      <c r="X5" s="25">
        <v>105029</v>
      </c>
      <c r="Y5" s="25">
        <v>18893</v>
      </c>
      <c r="Z5" s="25">
        <v>159630</v>
      </c>
      <c r="AA5" s="25"/>
      <c r="AB5" s="25">
        <v>118860</v>
      </c>
      <c r="AC5" s="25">
        <v>3311178</v>
      </c>
      <c r="AD5" s="25">
        <v>185576</v>
      </c>
      <c r="AE5" s="25"/>
      <c r="AF5" s="25">
        <v>-313304</v>
      </c>
      <c r="AG5" s="25">
        <v>545508</v>
      </c>
      <c r="AH5" s="25">
        <v>341645</v>
      </c>
      <c r="AI5" s="18">
        <f>B5+C5+D5+E5+F5+G5+H5+I5+J5+K5+L5+M5+N5+O5+P5+Q5+R5+S5+T5+U5+V5+W5+X5+Y5+Z5+AA5+AB5+AC5+AD5+AE5+AF5+AG5+AH5</f>
        <v>9100273.9965146426</v>
      </c>
    </row>
    <row r="6" spans="1:37" x14ac:dyDescent="0.25">
      <c r="A6" s="22" t="s">
        <v>45</v>
      </c>
      <c r="B6" s="57"/>
      <c r="C6" s="25"/>
      <c r="D6" s="25"/>
      <c r="E6" s="25"/>
      <c r="F6" s="25">
        <v>139121</v>
      </c>
      <c r="G6" s="25">
        <v>-36663</v>
      </c>
      <c r="H6" s="25">
        <v>65878</v>
      </c>
      <c r="I6" s="25"/>
      <c r="J6" s="25"/>
      <c r="K6" s="25"/>
      <c r="L6" s="25"/>
      <c r="M6" s="25">
        <v>105044</v>
      </c>
      <c r="N6" s="25">
        <v>15</v>
      </c>
      <c r="O6" s="25">
        <v>-98262</v>
      </c>
      <c r="P6" s="25">
        <v>469366</v>
      </c>
      <c r="Q6" s="25">
        <v>226460</v>
      </c>
      <c r="R6" s="25"/>
      <c r="S6" s="25">
        <v>-40577</v>
      </c>
      <c r="T6" s="25">
        <v>-37016</v>
      </c>
      <c r="U6" s="25"/>
      <c r="V6" s="41">
        <v>945983.3445089946</v>
      </c>
      <c r="W6" s="41">
        <v>1106498</v>
      </c>
      <c r="X6" s="25">
        <v>1125028</v>
      </c>
      <c r="Y6" s="25">
        <v>188</v>
      </c>
      <c r="Z6" s="25">
        <v>37064</v>
      </c>
      <c r="AA6" s="25"/>
      <c r="AB6" s="25">
        <v>44198</v>
      </c>
      <c r="AC6" s="25">
        <v>-11140</v>
      </c>
      <c r="AD6" s="25">
        <v>5286</v>
      </c>
      <c r="AE6" s="25"/>
      <c r="AF6" s="25">
        <v>-4837</v>
      </c>
      <c r="AG6" s="25">
        <v>731986</v>
      </c>
      <c r="AH6" s="25">
        <v>2033</v>
      </c>
      <c r="AI6" s="18">
        <f>B6+C6+D6+E6+F6+G6+H6+I6+J6+K6+L6+M6+N6+O6+P6+Q6+R6+S6+T6+U6+V6+W6+X6+Y6+Z6+AA6+AB6+AC6+AD6+AE6+AF6+AG6+AH6</f>
        <v>4775653.3445089944</v>
      </c>
    </row>
    <row r="7" spans="1:37" x14ac:dyDescent="0.25">
      <c r="A7" s="22" t="s">
        <v>46</v>
      </c>
      <c r="B7" s="58">
        <v>-143358.652</v>
      </c>
      <c r="C7" s="25">
        <v>-1953034</v>
      </c>
      <c r="D7" s="25">
        <v>7033975</v>
      </c>
      <c r="E7" s="25">
        <v>649711</v>
      </c>
      <c r="F7" s="25">
        <v>11046564</v>
      </c>
      <c r="G7" s="25">
        <v>72471</v>
      </c>
      <c r="H7" s="25">
        <v>2530876</v>
      </c>
      <c r="I7" s="25">
        <v>-1077398</v>
      </c>
      <c r="J7" s="25">
        <v>-69076</v>
      </c>
      <c r="K7" s="25">
        <v>-182355</v>
      </c>
      <c r="L7" s="25">
        <v>-1300502.8600000001</v>
      </c>
      <c r="M7" s="25">
        <v>109087</v>
      </c>
      <c r="N7" s="25">
        <v>-826058</v>
      </c>
      <c r="O7" s="25">
        <v>4944181</v>
      </c>
      <c r="P7" s="25">
        <v>7439615</v>
      </c>
      <c r="Q7" s="25">
        <v>994291</v>
      </c>
      <c r="R7" s="25">
        <v>-396648</v>
      </c>
      <c r="S7" s="25">
        <v>-1566167</v>
      </c>
      <c r="T7" s="25">
        <v>85746</v>
      </c>
      <c r="U7" s="25">
        <v>1101654</v>
      </c>
      <c r="V7" s="41">
        <v>-27360788.798979864</v>
      </c>
      <c r="W7" s="41">
        <v>4633672</v>
      </c>
      <c r="X7" s="25">
        <v>10246421</v>
      </c>
      <c r="Y7" s="25">
        <v>-71554</v>
      </c>
      <c r="Z7" s="25">
        <v>1022669</v>
      </c>
      <c r="AA7" s="25">
        <v>-285467</v>
      </c>
      <c r="AB7" s="25">
        <v>521085</v>
      </c>
      <c r="AC7" s="25">
        <v>472846</v>
      </c>
      <c r="AD7" s="25">
        <v>4819050</v>
      </c>
      <c r="AE7" s="25">
        <v>1384216</v>
      </c>
      <c r="AF7" s="25">
        <v>737816</v>
      </c>
      <c r="AG7" s="25">
        <v>4148015</v>
      </c>
      <c r="AH7" s="25">
        <v>3571320</v>
      </c>
      <c r="AI7" s="18">
        <f>B7+C7+D7+E7+F7+G7+H7+I7+J7+K7+L7+M7+N7+O7+P7+Q7+R7+S7+T7+U7+V7+W7+X7+Y7+Z7+AA7+AB7+AC7+AD7+AE7+AF7+AG7+AH7</f>
        <v>32332873.689020138</v>
      </c>
    </row>
    <row r="8" spans="1:37" s="12" customFormat="1" x14ac:dyDescent="0.25">
      <c r="A8" s="20" t="s">
        <v>47</v>
      </c>
      <c r="B8" s="136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18"/>
    </row>
    <row r="9" spans="1:37" x14ac:dyDescent="0.25">
      <c r="A9" s="22" t="s">
        <v>48</v>
      </c>
      <c r="B9" s="58">
        <v>30686.256000000001</v>
      </c>
      <c r="C9" s="25">
        <v>72751</v>
      </c>
      <c r="D9" s="56">
        <v>1383010</v>
      </c>
      <c r="E9" s="25">
        <v>110460</v>
      </c>
      <c r="F9" s="25">
        <v>1716031</v>
      </c>
      <c r="G9" s="25">
        <v>412592</v>
      </c>
      <c r="H9" s="25">
        <v>471576</v>
      </c>
      <c r="I9" s="25">
        <v>103214</v>
      </c>
      <c r="J9" s="25">
        <v>91306</v>
      </c>
      <c r="K9" s="25">
        <v>31474</v>
      </c>
      <c r="L9" s="25">
        <v>2399419.2999999998</v>
      </c>
      <c r="M9" s="25">
        <v>429548</v>
      </c>
      <c r="N9" s="25">
        <v>146780</v>
      </c>
      <c r="O9" s="25">
        <v>1370571</v>
      </c>
      <c r="P9" s="25">
        <v>2879042</v>
      </c>
      <c r="Q9" s="25">
        <v>1285680</v>
      </c>
      <c r="R9" s="25">
        <v>67248</v>
      </c>
      <c r="S9" s="25">
        <v>201521</v>
      </c>
      <c r="T9" s="25">
        <v>176531</v>
      </c>
      <c r="U9" s="25">
        <v>195040</v>
      </c>
      <c r="V9" s="56">
        <v>3153265</v>
      </c>
      <c r="W9" s="56">
        <v>8911477</v>
      </c>
      <c r="X9" s="25">
        <v>1246158</v>
      </c>
      <c r="Y9" s="25">
        <v>131840</v>
      </c>
      <c r="Z9" s="25">
        <v>801618</v>
      </c>
      <c r="AA9" s="25">
        <v>161794</v>
      </c>
      <c r="AB9" s="25">
        <v>608181</v>
      </c>
      <c r="AC9" s="25">
        <v>1001760</v>
      </c>
      <c r="AD9" s="25">
        <v>479691</v>
      </c>
      <c r="AE9" s="25">
        <v>544960</v>
      </c>
      <c r="AF9" s="25">
        <v>233617</v>
      </c>
      <c r="AG9" s="25">
        <v>3144348</v>
      </c>
      <c r="AH9" s="25">
        <v>377606</v>
      </c>
      <c r="AI9" s="18">
        <f>B9+C9+D9+E9+F9+G9+H9+I9+J9+K9+L9+M9+N9+O9+P9+Q9+R9+S9+T9+U9+V9+W9+X9+Y9+Z9+AA9+AB9+AC9+AD9+AE9+AF9+AG9+AH9</f>
        <v>34370795.556000002</v>
      </c>
    </row>
    <row r="10" spans="1:37" x14ac:dyDescent="0.25">
      <c r="A10" s="22" t="s">
        <v>49</v>
      </c>
      <c r="B10" s="58">
        <v>30382.188999999998</v>
      </c>
      <c r="C10" s="25">
        <v>5090</v>
      </c>
      <c r="D10" s="25">
        <v>18202</v>
      </c>
      <c r="E10" s="25">
        <v>15088</v>
      </c>
      <c r="F10" s="25">
        <v>336170</v>
      </c>
      <c r="G10" s="25">
        <v>34410</v>
      </c>
      <c r="H10" s="25">
        <v>58905</v>
      </c>
      <c r="I10" s="25">
        <v>21308</v>
      </c>
      <c r="J10" s="25">
        <v>16517</v>
      </c>
      <c r="K10" s="25">
        <v>4061</v>
      </c>
      <c r="L10" s="25">
        <v>219656.83</v>
      </c>
      <c r="M10" s="25">
        <v>29027</v>
      </c>
      <c r="N10" s="25">
        <v>37424</v>
      </c>
      <c r="O10" s="25">
        <v>185296</v>
      </c>
      <c r="P10" s="25">
        <v>1715088</v>
      </c>
      <c r="Q10" s="25">
        <v>91785</v>
      </c>
      <c r="R10" s="25">
        <v>12594</v>
      </c>
      <c r="S10" s="25">
        <v>8474</v>
      </c>
      <c r="T10" s="25">
        <v>13499</v>
      </c>
      <c r="U10" s="25">
        <v>13882</v>
      </c>
      <c r="V10" s="56">
        <v>4015298</v>
      </c>
      <c r="W10" s="56">
        <v>7460658</v>
      </c>
      <c r="X10" s="25">
        <v>1902086</v>
      </c>
      <c r="Y10" s="25">
        <v>3320</v>
      </c>
      <c r="Z10" s="25">
        <v>87129</v>
      </c>
      <c r="AA10" s="25">
        <v>163</v>
      </c>
      <c r="AB10" s="25">
        <v>107862</v>
      </c>
      <c r="AC10" s="25">
        <v>96926</v>
      </c>
      <c r="AD10" s="25">
        <v>261072</v>
      </c>
      <c r="AE10" s="25">
        <v>46770</v>
      </c>
      <c r="AF10" s="25">
        <v>48162</v>
      </c>
      <c r="AG10" s="25">
        <v>3675439</v>
      </c>
      <c r="AH10" s="25">
        <v>39237</v>
      </c>
      <c r="AI10" s="18">
        <f>B10+C10+D10+E10+F10+G10+H10+I10+J10+K10+L10+M10+N10+O10+P10+Q10+R10+S10+T10+U10+V10+W10+X10+Y10+Z10+AA10+AB10+AC10+AD10+AE10+AF10+AG10+AH10</f>
        <v>20610981.019000001</v>
      </c>
    </row>
    <row r="11" spans="1:37" x14ac:dyDescent="0.25">
      <c r="A11" s="22" t="s">
        <v>111</v>
      </c>
      <c r="B11" s="58">
        <v>1373.0450000000001</v>
      </c>
      <c r="C11" s="25">
        <v>-3086</v>
      </c>
      <c r="D11" s="25">
        <v>-810</v>
      </c>
      <c r="E11" s="25"/>
      <c r="F11" s="25">
        <v>-93790</v>
      </c>
      <c r="G11" s="25"/>
      <c r="H11" s="25"/>
      <c r="I11" s="25"/>
      <c r="J11" s="25"/>
      <c r="K11" s="25">
        <v>-12236</v>
      </c>
      <c r="L11" s="25"/>
      <c r="M11" s="25">
        <v>-1642</v>
      </c>
      <c r="N11" s="25">
        <v>-2992</v>
      </c>
      <c r="O11" s="25"/>
      <c r="P11" s="25">
        <v>-535202</v>
      </c>
      <c r="Q11" s="25"/>
      <c r="R11" s="25">
        <v>-2712</v>
      </c>
      <c r="S11" s="25"/>
      <c r="T11" s="25"/>
      <c r="U11" s="25"/>
      <c r="V11" s="56"/>
      <c r="W11" s="56"/>
      <c r="X11" s="25"/>
      <c r="Y11" s="25">
        <v>-9</v>
      </c>
      <c r="Z11" s="25">
        <v>-13401</v>
      </c>
      <c r="AA11" s="25"/>
      <c r="AB11" s="25">
        <v>-6560</v>
      </c>
      <c r="AC11" s="25">
        <v>-1202</v>
      </c>
      <c r="AD11" s="18"/>
      <c r="AE11" s="25"/>
      <c r="AF11" s="25">
        <v>-22403</v>
      </c>
      <c r="AG11" s="25"/>
      <c r="AH11" s="25">
        <v>-643</v>
      </c>
      <c r="AI11" s="18">
        <f>B11+C11+D11+E11+F13+G11+H11+I11+J11+K11+L11+M11+N11+O11+P11+Q11+R11+S11+T11+U11+V11+W11+X11+Y11+Z11+AA11+AB11+AC10+AD13+AE11+AF11+AG11+AH11</f>
        <v>-554052.95499999996</v>
      </c>
    </row>
    <row r="12" spans="1:37" ht="15" customHeight="1" x14ac:dyDescent="0.25">
      <c r="A12" s="22" t="s">
        <v>140</v>
      </c>
      <c r="B12" s="58"/>
      <c r="C12" s="25"/>
      <c r="D12" s="18"/>
      <c r="E12" s="25"/>
      <c r="F12" s="25"/>
      <c r="G12" s="25">
        <v>2112</v>
      </c>
      <c r="H12" s="25"/>
      <c r="I12" s="25"/>
      <c r="J12" s="25"/>
      <c r="K12" s="25"/>
      <c r="L12" s="25"/>
      <c r="M12" s="25">
        <v>-7589</v>
      </c>
      <c r="N12" s="25"/>
      <c r="O12" s="25">
        <v>-26296</v>
      </c>
      <c r="P12" s="25"/>
      <c r="Q12" s="25"/>
      <c r="R12" s="25"/>
      <c r="S12" s="25"/>
      <c r="T12" s="25"/>
      <c r="U12" s="25"/>
      <c r="V12" s="56"/>
      <c r="W12" s="56"/>
      <c r="X12" s="25"/>
      <c r="Y12" s="25"/>
      <c r="Z12" s="25"/>
      <c r="AA12" s="25"/>
      <c r="AB12" s="25"/>
      <c r="AC12" s="25"/>
      <c r="AD12" s="25"/>
      <c r="AE12" s="25"/>
      <c r="AF12" s="25">
        <v>-12386</v>
      </c>
      <c r="AG12" s="25"/>
      <c r="AH12" s="18"/>
      <c r="AI12" s="18">
        <f>B12+C12+D13+E12+F12+G12+H12+I12+J12+K12+L12+M12+N12+O12+P12+Q12+R12+S12+T12+U12+V12+W12+X12+Y12+Z12+AA12+AB12+AC11+AD12+AE12+AF12+AG12+AH13</f>
        <v>152815</v>
      </c>
    </row>
    <row r="13" spans="1:37" x14ac:dyDescent="0.25">
      <c r="A13" s="18" t="s">
        <v>141</v>
      </c>
      <c r="B13" s="58"/>
      <c r="C13" s="25"/>
      <c r="D13" s="25">
        <v>212521</v>
      </c>
      <c r="E13" s="25"/>
      <c r="F13" s="25">
        <v>-42016</v>
      </c>
      <c r="G13" s="25"/>
      <c r="H13" s="25"/>
      <c r="I13" s="25"/>
      <c r="J13" s="25"/>
      <c r="K13" s="25">
        <v>5673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56"/>
      <c r="W13" s="56"/>
      <c r="X13" s="25"/>
      <c r="Y13" s="25"/>
      <c r="Z13" s="25"/>
      <c r="AA13" s="25"/>
      <c r="AB13" s="25"/>
      <c r="AC13" s="18"/>
      <c r="AD13" s="25">
        <v>-8640</v>
      </c>
      <c r="AE13" s="25"/>
      <c r="AF13" s="25"/>
      <c r="AG13" s="25"/>
      <c r="AH13" s="25">
        <v>-14345</v>
      </c>
      <c r="AI13" s="18">
        <f>B13+C13+D13+E13+F13+G13+H13+I13+J13+K13+L13+M13+N13+O13+P13+Q13+R13+S13+T13+U13+V13+W13+X13+Y13+Z13+AA13+AB13+AC12+AD12+AE13+AF13+AG13+AH13</f>
        <v>161833</v>
      </c>
    </row>
    <row r="14" spans="1:37" s="12" customFormat="1" x14ac:dyDescent="0.25">
      <c r="A14" s="20" t="s">
        <v>50</v>
      </c>
      <c r="B14" s="136"/>
      <c r="C14" s="54"/>
      <c r="D14" s="58">
        <f>85015+286+10125</f>
        <v>95426</v>
      </c>
      <c r="E14" s="58">
        <f>5214-4446</f>
        <v>768</v>
      </c>
      <c r="F14" s="58">
        <v>14718</v>
      </c>
      <c r="G14" s="54"/>
      <c r="H14" s="58"/>
      <c r="I14" s="58"/>
      <c r="J14" s="58"/>
      <c r="K14" s="58"/>
      <c r="L14" s="58">
        <v>32098</v>
      </c>
      <c r="M14" s="58">
        <v>9083</v>
      </c>
      <c r="N14" s="58">
        <v>6</v>
      </c>
      <c r="O14" s="58"/>
      <c r="P14" s="58">
        <f>80176+1329</f>
        <v>81505</v>
      </c>
      <c r="Q14" s="58">
        <f>17284+220</f>
        <v>17504</v>
      </c>
      <c r="R14" s="58">
        <v>154</v>
      </c>
      <c r="S14" s="58"/>
      <c r="T14" s="58"/>
      <c r="U14" s="58">
        <f>31929+968-5464</f>
        <v>27433</v>
      </c>
      <c r="V14" s="58">
        <v>363244</v>
      </c>
      <c r="W14" s="61">
        <v>1036764</v>
      </c>
      <c r="X14" s="58">
        <v>1018468</v>
      </c>
      <c r="Y14" s="58">
        <v>942</v>
      </c>
      <c r="Z14" s="58">
        <f>18523+3204+-768</f>
        <v>20959</v>
      </c>
      <c r="AA14" s="58"/>
      <c r="AB14" s="58">
        <f>129+3517</f>
        <v>3646</v>
      </c>
      <c r="AC14" s="58">
        <f>6831+266</f>
        <v>7097</v>
      </c>
      <c r="AD14" s="58"/>
      <c r="AE14" s="58"/>
      <c r="AF14" s="58">
        <f>1579+468</f>
        <v>2047</v>
      </c>
      <c r="AG14" s="58">
        <f>223702+124070</f>
        <v>347772</v>
      </c>
      <c r="AH14" s="58"/>
      <c r="AI14" s="18">
        <f>B14+C14+D14+E14+F14+G14+H14+I14+J14+K14+L14+M14+N14+O14+P14+Q14+R14+S14+T14+U14+V14+W14+X14+Y14+Z14+AA14+AB14+AC14+AD14+AE14+AF14+AG14+AH14</f>
        <v>3079634</v>
      </c>
    </row>
    <row r="15" spans="1:37" s="12" customFormat="1" x14ac:dyDescent="0.25">
      <c r="A15" s="20" t="s">
        <v>35</v>
      </c>
      <c r="B15" s="54">
        <f>SUM(B7:B14)</f>
        <v>-80917.162000000011</v>
      </c>
      <c r="C15" s="54">
        <f>SUM(C7:C14)</f>
        <v>-1878279</v>
      </c>
      <c r="D15" s="54">
        <f>SUM(D4:D14)</f>
        <v>8742324</v>
      </c>
      <c r="E15" s="54">
        <f>SUM(E6:E14)</f>
        <v>776027</v>
      </c>
      <c r="F15" s="54">
        <f>SUM(F5:F14)</f>
        <v>13804163</v>
      </c>
      <c r="G15" s="54">
        <f>SUM(G5:G14)</f>
        <v>519440</v>
      </c>
      <c r="H15" s="54">
        <f>SUM(H5:H14)</f>
        <v>3633242</v>
      </c>
      <c r="I15" s="54">
        <f>SUM(I7:I14)</f>
        <v>-952876</v>
      </c>
      <c r="J15" s="54">
        <f>SUM(J5:J14)</f>
        <v>-106425</v>
      </c>
      <c r="K15" s="54">
        <f>SUM(K7:K14)</f>
        <v>-153383</v>
      </c>
      <c r="L15" s="54">
        <f>SUM(L7:L14)</f>
        <v>1350671.2699999998</v>
      </c>
      <c r="M15" s="54">
        <f>SUM(M5:M14)</f>
        <v>819411</v>
      </c>
      <c r="N15" s="54">
        <f>SUM(N4:N14)</f>
        <v>-651852</v>
      </c>
      <c r="O15" s="54">
        <f>SUM(O4:O14)</f>
        <v>6240989</v>
      </c>
      <c r="P15" s="54">
        <f>SUM(P5:P14)</f>
        <v>13377525</v>
      </c>
      <c r="Q15" s="54">
        <f>SUM(Q5:Q14)</f>
        <v>2644619</v>
      </c>
      <c r="R15" s="54">
        <f>SUM(R4:R14)</f>
        <v>-315425</v>
      </c>
      <c r="S15" s="54">
        <f>SUM(S4:S14)</f>
        <v>-1445789</v>
      </c>
      <c r="T15" s="54">
        <f>SUM(T4:T14)</f>
        <v>76868</v>
      </c>
      <c r="U15" s="54">
        <f t="shared" ref="U15:Z15" si="0">SUM(U5:U14)</f>
        <v>1338009</v>
      </c>
      <c r="V15" s="54">
        <f t="shared" si="0"/>
        <v>-20787454.457956225</v>
      </c>
      <c r="W15" s="54">
        <f t="shared" si="0"/>
        <v>27442724</v>
      </c>
      <c r="X15" s="54">
        <f t="shared" si="0"/>
        <v>15643190</v>
      </c>
      <c r="Y15" s="54">
        <f t="shared" si="0"/>
        <v>83620</v>
      </c>
      <c r="Z15" s="54">
        <f t="shared" si="0"/>
        <v>2115668</v>
      </c>
      <c r="AA15" s="54">
        <v>-123510</v>
      </c>
      <c r="AB15" s="54">
        <f>SUM(AB5:AB14)</f>
        <v>1397272</v>
      </c>
      <c r="AC15" s="54">
        <f>SUM(AC5:AC14)</f>
        <v>4877465</v>
      </c>
      <c r="AD15" s="54">
        <f>SUM(AD5:AD14)</f>
        <v>5742035</v>
      </c>
      <c r="AE15" s="54">
        <f>SUM(AE7:AE14)</f>
        <v>1975946</v>
      </c>
      <c r="AF15" s="54">
        <f>SUM(AF5:AF14)</f>
        <v>668712</v>
      </c>
      <c r="AG15" s="54">
        <f>SUM(AG5:AG14)</f>
        <v>12593068</v>
      </c>
      <c r="AH15" s="54">
        <f>SUM(AH5:AH14)</f>
        <v>4316853</v>
      </c>
      <c r="AI15" s="21">
        <f>B15+C15+D15+E15+F15+G15+H15+I15+J15+K15+L15+M15+N15+O15+P15+Q15+R15+S15+T15+U15+V15+W15+X15+Y15+Z15+AA15+AB15+AC15+AD15+AE15+AF15+AG14+AH15</f>
        <v>91438634.650043771</v>
      </c>
      <c r="AK15" s="4"/>
    </row>
    <row r="16" spans="1:37" s="12" customFormat="1" x14ac:dyDescent="0.25">
      <c r="A16" s="20" t="s">
        <v>51</v>
      </c>
      <c r="B16" s="136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25"/>
      <c r="S16" s="54"/>
      <c r="T16" s="54"/>
      <c r="U16" s="54"/>
      <c r="V16" s="58"/>
      <c r="W16" s="58"/>
      <c r="X16" s="54"/>
      <c r="Y16" s="54"/>
      <c r="Z16" s="54"/>
      <c r="AA16" s="54"/>
      <c r="AB16" s="54"/>
      <c r="AC16" s="54"/>
      <c r="AD16" s="54"/>
      <c r="AE16" s="54"/>
      <c r="AF16" s="54"/>
      <c r="AG16" s="25"/>
      <c r="AH16" s="54"/>
      <c r="AI16" s="18"/>
      <c r="AK16" s="4"/>
    </row>
    <row r="17" spans="1:35" ht="15" customHeight="1" x14ac:dyDescent="0.25">
      <c r="A17" s="22" t="s">
        <v>52</v>
      </c>
      <c r="B17" s="58"/>
      <c r="C17" s="25"/>
      <c r="D17" s="18"/>
      <c r="E17" s="25"/>
      <c r="F17" s="25"/>
      <c r="G17" s="25"/>
      <c r="H17" s="25">
        <v>20867</v>
      </c>
      <c r="I17" s="25"/>
      <c r="J17" s="25"/>
      <c r="K17" s="25"/>
      <c r="L17" s="25">
        <v>15200</v>
      </c>
      <c r="M17" s="25"/>
      <c r="N17" s="25"/>
      <c r="O17" s="25"/>
      <c r="P17" s="25">
        <v>104125</v>
      </c>
      <c r="Q17" s="25"/>
      <c r="R17" s="25"/>
      <c r="S17" s="25"/>
      <c r="T17" s="25"/>
      <c r="U17" s="25"/>
      <c r="V17" s="58">
        <v>1399</v>
      </c>
      <c r="W17" s="61">
        <v>28286</v>
      </c>
      <c r="X17" s="25">
        <v>-1762</v>
      </c>
      <c r="Y17" s="25"/>
      <c r="Z17" s="25"/>
      <c r="AA17" s="25"/>
      <c r="AB17" s="25"/>
      <c r="AC17" s="25">
        <v>28755</v>
      </c>
      <c r="AD17" s="25"/>
      <c r="AE17" s="25"/>
      <c r="AF17" s="25"/>
      <c r="AG17" s="25">
        <v>-49488</v>
      </c>
      <c r="AH17" s="25"/>
      <c r="AI17" s="18">
        <f>B17+C17+D18+E17+F17+G17+H17+I17+J17+K17+L17+M17+N17+O17+P17+Q17+R16+S17+T17+U17+V17+W17+X17+Y17+Z17+AA17+AB17+AC17+AD17+AE17+AF17+AG17+AH17</f>
        <v>168624</v>
      </c>
    </row>
    <row r="18" spans="1:35" x14ac:dyDescent="0.25">
      <c r="A18" s="22" t="s">
        <v>53</v>
      </c>
      <c r="B18" s="58"/>
      <c r="C18" s="25"/>
      <c r="D18" s="25">
        <v>21242</v>
      </c>
      <c r="E18" s="25"/>
      <c r="F18" s="25">
        <v>10215</v>
      </c>
      <c r="G18" s="25">
        <v>174494</v>
      </c>
      <c r="H18" s="25"/>
      <c r="I18" s="25"/>
      <c r="J18" s="25"/>
      <c r="K18" s="25"/>
      <c r="L18" s="25"/>
      <c r="M18" s="25"/>
      <c r="N18" s="25"/>
      <c r="O18" s="25">
        <v>-87241</v>
      </c>
      <c r="P18" s="25">
        <v>593822</v>
      </c>
      <c r="Q18" s="25"/>
      <c r="R18" s="25"/>
      <c r="S18" s="25">
        <v>28650</v>
      </c>
      <c r="T18" s="25"/>
      <c r="U18" s="25">
        <v>5505</v>
      </c>
      <c r="V18" s="58"/>
      <c r="W18" s="61">
        <v>-54420</v>
      </c>
      <c r="X18" s="25">
        <v>46992</v>
      </c>
      <c r="Y18" s="25"/>
      <c r="Z18" s="25">
        <v>148944</v>
      </c>
      <c r="AA18" s="25"/>
      <c r="AB18" s="25"/>
      <c r="AC18" s="25"/>
      <c r="AD18" s="25">
        <v>1529</v>
      </c>
      <c r="AE18" s="25"/>
      <c r="AF18" s="25">
        <v>-8741</v>
      </c>
      <c r="AG18" s="18">
        <v>-722</v>
      </c>
      <c r="AH18" s="25"/>
      <c r="AI18" s="18">
        <f>B18+C18+D19+E18+F18+G18+H18+I18+J18+K18+L18+M18+N18+O18+P18+Q18+R17+S18+T18+U18+V18+W18+X18+Y18+Z18+AA18+AB18+AC18+AD18+AE18+AF18+AG16+AH18</f>
        <v>679084</v>
      </c>
    </row>
    <row r="19" spans="1:35" x14ac:dyDescent="0.25">
      <c r="A19" s="22" t="s">
        <v>143</v>
      </c>
      <c r="B19" s="58"/>
      <c r="C19" s="25"/>
      <c r="D19" s="25">
        <v>-180665</v>
      </c>
      <c r="E19" s="25"/>
      <c r="F19" s="25"/>
      <c r="G19" s="18"/>
      <c r="H19" s="25"/>
      <c r="I19" s="25"/>
      <c r="J19" s="25"/>
      <c r="K19" s="25"/>
      <c r="L19" s="25"/>
      <c r="M19" s="25"/>
      <c r="N19" s="25"/>
      <c r="O19" s="25"/>
      <c r="P19" s="25">
        <v>-18777</v>
      </c>
      <c r="Q19" s="25"/>
      <c r="R19" s="54">
        <v>312</v>
      </c>
      <c r="S19" s="25"/>
      <c r="T19" s="25"/>
      <c r="U19" s="25"/>
      <c r="V19" s="58"/>
      <c r="W19" s="61">
        <v>32430</v>
      </c>
      <c r="X19" s="25">
        <v>26104</v>
      </c>
      <c r="Y19" s="25"/>
      <c r="Z19" s="25">
        <v>27159</v>
      </c>
      <c r="AA19" s="25"/>
      <c r="AB19" s="25"/>
      <c r="AC19" s="25"/>
      <c r="AD19" s="25"/>
      <c r="AE19" s="25"/>
      <c r="AF19" s="25"/>
      <c r="AG19" s="18"/>
      <c r="AH19" s="25"/>
      <c r="AI19" s="18">
        <f>B19+C19+D19+E19+F19+I9+H19+I19+J19+K19+L19+M19+N19+O19+P19+Q19+R18+S19+T19+U19+V19+W19+X19+Y19+Z19+AA19+AB19+AC19+AD19+AE19+AF19+AG17+AH19</f>
        <v>-60023</v>
      </c>
    </row>
    <row r="20" spans="1:35" s="137" customFormat="1" x14ac:dyDescent="0.25">
      <c r="A20" s="20" t="s">
        <v>147</v>
      </c>
      <c r="B20" s="58">
        <v>34341.336000000003</v>
      </c>
      <c r="C20" s="58">
        <v>13955</v>
      </c>
      <c r="D20" s="58">
        <v>103286</v>
      </c>
      <c r="E20" s="58">
        <f>65265+70450+487913</f>
        <v>623628</v>
      </c>
      <c r="F20" s="58">
        <f>251544+13271</f>
        <v>264815</v>
      </c>
      <c r="G20" s="58">
        <v>1271245</v>
      </c>
      <c r="H20" s="58">
        <v>146220</v>
      </c>
      <c r="I20" s="58">
        <v>96600</v>
      </c>
      <c r="J20" s="58">
        <f>4699+30394</f>
        <v>35093</v>
      </c>
      <c r="K20" s="58">
        <v>119522</v>
      </c>
      <c r="L20" s="58">
        <v>37618.32</v>
      </c>
      <c r="M20" s="58">
        <v>33130</v>
      </c>
      <c r="N20" s="58">
        <v>47368</v>
      </c>
      <c r="O20" s="58">
        <f>O21-O18</f>
        <v>1195549</v>
      </c>
      <c r="P20" s="58">
        <v>736024</v>
      </c>
      <c r="Q20" s="58">
        <v>66783</v>
      </c>
      <c r="R20" s="58">
        <v>9758</v>
      </c>
      <c r="S20" s="58">
        <v>62056</v>
      </c>
      <c r="T20" s="58"/>
      <c r="U20" s="58">
        <f>26393+1077713</f>
        <v>1104106</v>
      </c>
      <c r="V20" s="58">
        <v>1036188</v>
      </c>
      <c r="W20" s="58">
        <v>185852</v>
      </c>
      <c r="X20" s="58">
        <f>2070+856797</f>
        <v>858867</v>
      </c>
      <c r="Y20" s="58">
        <v>66567</v>
      </c>
      <c r="Z20" s="58">
        <f>19262+32400+2915+18752+8500+209300+20722+3817+-26136</f>
        <v>289532</v>
      </c>
      <c r="AA20" s="58">
        <v>39008</v>
      </c>
      <c r="AB20" s="58">
        <v>137050</v>
      </c>
      <c r="AC20" s="58">
        <v>624816</v>
      </c>
      <c r="AD20" s="58">
        <v>7613</v>
      </c>
      <c r="AE20" s="58">
        <v>263911</v>
      </c>
      <c r="AF20" s="58">
        <v>55150</v>
      </c>
      <c r="AG20" s="58">
        <v>363694</v>
      </c>
      <c r="AH20" s="58">
        <v>21122</v>
      </c>
      <c r="AI20" s="42">
        <f t="shared" ref="AI20:AI21" si="1">B20+C20+D20+E20+F20+G20+H20+I20+J20+K20+L20+M20+N20+O20+P20+Q20+R20+S20+T20+U20+V20+W20+X20+Y20+Z20+AA20+AB20+AC20+AD20+AE20+AF20+AG20+AH20</f>
        <v>9950467.6559999995</v>
      </c>
    </row>
    <row r="21" spans="1:35" s="12" customFormat="1" x14ac:dyDescent="0.25">
      <c r="A21" s="20" t="s">
        <v>40</v>
      </c>
      <c r="B21" s="54">
        <f>SUM(B20)</f>
        <v>34341.336000000003</v>
      </c>
      <c r="C21" s="54">
        <f>SUM(C20)</f>
        <v>13955</v>
      </c>
      <c r="D21" s="54">
        <f>SUM(D16:D20)</f>
        <v>-56137</v>
      </c>
      <c r="E21" s="54">
        <f>SUM(E20)</f>
        <v>623628</v>
      </c>
      <c r="F21" s="54">
        <f>SUM(F17:F20)</f>
        <v>275030</v>
      </c>
      <c r="G21" s="54">
        <f>SUM(G16:G20)</f>
        <v>1445739</v>
      </c>
      <c r="H21" s="54">
        <f>SUM(H17:H20)</f>
        <v>167087</v>
      </c>
      <c r="I21" s="54">
        <f>SUM(I20)</f>
        <v>96600</v>
      </c>
      <c r="J21" s="54">
        <f>4699+30394</f>
        <v>35093</v>
      </c>
      <c r="K21" s="54">
        <f>SUM(K20)</f>
        <v>119522</v>
      </c>
      <c r="L21" s="54">
        <f>SUM(L17:L20)</f>
        <v>52818.32</v>
      </c>
      <c r="M21" s="54">
        <f>SUM(M20)</f>
        <v>33130</v>
      </c>
      <c r="N21" s="54">
        <v>47368</v>
      </c>
      <c r="O21" s="54">
        <v>1108308</v>
      </c>
      <c r="P21" s="54">
        <f>SUM(P16:P20)</f>
        <v>1415194</v>
      </c>
      <c r="Q21" s="54">
        <v>66783</v>
      </c>
      <c r="R21" s="54">
        <f>SUM(R19:R20)</f>
        <v>10070</v>
      </c>
      <c r="S21" s="54">
        <f>SUM(S17:S20)</f>
        <v>90706</v>
      </c>
      <c r="T21" s="54">
        <f>14203+560+1458</f>
        <v>16221</v>
      </c>
      <c r="U21" s="54">
        <f t="shared" ref="U21:Z21" si="2">SUM(U16:U20)</f>
        <v>1109611</v>
      </c>
      <c r="V21" s="54">
        <f t="shared" si="2"/>
        <v>1037587</v>
      </c>
      <c r="W21" s="54">
        <f t="shared" si="2"/>
        <v>192148</v>
      </c>
      <c r="X21" s="54">
        <f t="shared" si="2"/>
        <v>930201</v>
      </c>
      <c r="Y21" s="54">
        <f t="shared" si="2"/>
        <v>66567</v>
      </c>
      <c r="Z21" s="54">
        <f t="shared" si="2"/>
        <v>465635</v>
      </c>
      <c r="AA21" s="54">
        <v>39008</v>
      </c>
      <c r="AB21" s="54">
        <v>137050</v>
      </c>
      <c r="AC21" s="54">
        <f>SUM(AC16:AC20)</f>
        <v>653571</v>
      </c>
      <c r="AD21" s="54">
        <f>SUM(AD17:AD20)</f>
        <v>9142</v>
      </c>
      <c r="AE21" s="54">
        <v>263911</v>
      </c>
      <c r="AF21" s="54">
        <f>SUM(AF16:AF20)</f>
        <v>46409</v>
      </c>
      <c r="AG21" s="54">
        <f>SUM(AG16:AG20)</f>
        <v>313484</v>
      </c>
      <c r="AH21" s="54">
        <f>SUM(AH20)</f>
        <v>21122</v>
      </c>
      <c r="AI21" s="21">
        <f t="shared" si="1"/>
        <v>10880902.655999999</v>
      </c>
    </row>
    <row r="22" spans="1:35" s="12" customFormat="1" x14ac:dyDescent="0.25">
      <c r="A22" s="20" t="s">
        <v>112</v>
      </c>
      <c r="B22" s="54">
        <f t="shared" ref="B22:U22" si="3">B15-B21</f>
        <v>-115258.49800000002</v>
      </c>
      <c r="C22" s="54">
        <f t="shared" si="3"/>
        <v>-1892234</v>
      </c>
      <c r="D22" s="54">
        <f t="shared" si="3"/>
        <v>8798461</v>
      </c>
      <c r="E22" s="54">
        <f t="shared" si="3"/>
        <v>152399</v>
      </c>
      <c r="F22" s="54">
        <f t="shared" si="3"/>
        <v>13529133</v>
      </c>
      <c r="G22" s="54">
        <f t="shared" si="3"/>
        <v>-926299</v>
      </c>
      <c r="H22" s="54">
        <f t="shared" si="3"/>
        <v>3466155</v>
      </c>
      <c r="I22" s="54">
        <f t="shared" si="3"/>
        <v>-1049476</v>
      </c>
      <c r="J22" s="54">
        <f t="shared" si="3"/>
        <v>-141518</v>
      </c>
      <c r="K22" s="54">
        <f t="shared" si="3"/>
        <v>-272905</v>
      </c>
      <c r="L22" s="54">
        <f t="shared" si="3"/>
        <v>1297852.9499999997</v>
      </c>
      <c r="M22" s="54">
        <f t="shared" si="3"/>
        <v>786281</v>
      </c>
      <c r="N22" s="54">
        <f t="shared" si="3"/>
        <v>-699220</v>
      </c>
      <c r="O22" s="54">
        <v>5132681</v>
      </c>
      <c r="P22" s="54">
        <f t="shared" si="3"/>
        <v>11962331</v>
      </c>
      <c r="Q22" s="54">
        <f t="shared" si="3"/>
        <v>2577836</v>
      </c>
      <c r="R22" s="54">
        <f t="shared" si="3"/>
        <v>-325495</v>
      </c>
      <c r="S22" s="54">
        <f t="shared" si="3"/>
        <v>-1536495</v>
      </c>
      <c r="T22" s="54">
        <f t="shared" si="3"/>
        <v>60647</v>
      </c>
      <c r="U22" s="54">
        <f t="shared" si="3"/>
        <v>228398</v>
      </c>
      <c r="V22" s="54">
        <f>V15-V21</f>
        <v>-21825041.457956225</v>
      </c>
      <c r="W22" s="54">
        <f>W15-W21</f>
        <v>27250576</v>
      </c>
      <c r="X22" s="54">
        <f>X15-X21</f>
        <v>14712989</v>
      </c>
      <c r="Y22" s="54">
        <f>Y15-Y21</f>
        <v>17053</v>
      </c>
      <c r="Z22" s="54">
        <f>Z15-Z21</f>
        <v>1650033</v>
      </c>
      <c r="AA22" s="54">
        <v>-162518</v>
      </c>
      <c r="AB22" s="54">
        <f t="shared" ref="AB22:AH22" si="4">AB15-AB21</f>
        <v>1260222</v>
      </c>
      <c r="AC22" s="54">
        <f t="shared" si="4"/>
        <v>4223894</v>
      </c>
      <c r="AD22" s="54">
        <f t="shared" si="4"/>
        <v>5732893</v>
      </c>
      <c r="AE22" s="54">
        <f t="shared" si="4"/>
        <v>1712035</v>
      </c>
      <c r="AF22" s="54">
        <f t="shared" si="4"/>
        <v>622303</v>
      </c>
      <c r="AG22" s="54">
        <f t="shared" si="4"/>
        <v>12279584</v>
      </c>
      <c r="AH22" s="54">
        <f t="shared" si="4"/>
        <v>4295731</v>
      </c>
      <c r="AI22" s="21">
        <f>B22+C22+D22+E22+F22+G22+H22+I22+J22+K22+L22+M22+N22+O22+P22+Q22+R19+S22+T22+U22+V22+W22+X22+Y22+Z22+AA22+AB22+AC22+AD22+AE22+AF22+AG22+AH22</f>
        <v>93128834.994043767</v>
      </c>
    </row>
    <row r="23" spans="1:35" x14ac:dyDescent="0.25">
      <c r="A23" s="22" t="s">
        <v>54</v>
      </c>
      <c r="B23" s="58"/>
      <c r="C23" s="25"/>
      <c r="D23" s="25">
        <v>2841773</v>
      </c>
      <c r="E23" s="25"/>
      <c r="F23" s="25">
        <v>4316721</v>
      </c>
      <c r="G23" s="25"/>
      <c r="H23" s="25">
        <v>1040098</v>
      </c>
      <c r="I23" s="25"/>
      <c r="J23" s="25"/>
      <c r="K23" s="25"/>
      <c r="L23" s="25"/>
      <c r="M23" s="25"/>
      <c r="N23" s="25">
        <v>2061</v>
      </c>
      <c r="O23" s="25"/>
      <c r="P23" s="25"/>
      <c r="Q23" s="25"/>
      <c r="R23" s="25"/>
      <c r="S23" s="25"/>
      <c r="T23" s="25"/>
      <c r="U23" s="25"/>
      <c r="V23" s="54"/>
      <c r="W23" s="60"/>
      <c r="X23" s="25"/>
      <c r="Y23" s="25">
        <v>6002</v>
      </c>
      <c r="Z23" s="25"/>
      <c r="AA23" s="25"/>
      <c r="AB23" s="25"/>
      <c r="AC23" s="25"/>
      <c r="AD23" s="25"/>
      <c r="AE23" s="25"/>
      <c r="AF23" s="25"/>
      <c r="AG23" s="25"/>
      <c r="AH23" s="25"/>
      <c r="AI23" s="18">
        <f>B23+C23+D23+E23+F23+G23+H23+I23+J23+K23+L23+M23+N23+O23+P24+Q23+R23+S23+T23+U23+V23+W23+X24+Y23+Z23+AA23+AB23+AC23+AD23+AE23+AF23+AG23+AH23</f>
        <v>8206655</v>
      </c>
    </row>
    <row r="24" spans="1:35" x14ac:dyDescent="0.25">
      <c r="A24" s="22" t="s">
        <v>55</v>
      </c>
      <c r="B24" s="57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>
        <v>1059298</v>
      </c>
      <c r="P24" s="25"/>
      <c r="Q24" s="25"/>
      <c r="R24" s="25"/>
      <c r="S24" s="25"/>
      <c r="T24" s="25"/>
      <c r="U24" s="25"/>
      <c r="V24" s="56"/>
      <c r="W24" s="56"/>
      <c r="X24" s="25"/>
      <c r="Y24" s="25"/>
      <c r="Z24" s="25">
        <v>384530</v>
      </c>
      <c r="AA24" s="25"/>
      <c r="AB24" s="25"/>
      <c r="AC24" s="25"/>
      <c r="AD24" s="25"/>
      <c r="AE24" s="25"/>
      <c r="AF24" s="25"/>
      <c r="AG24" s="25"/>
      <c r="AH24" s="25"/>
      <c r="AI24" s="18">
        <f>B24+C24+D24+E27+F24+G24+H24+I24+J24+K24+L24+M24+N24+O24+P24+Q24+R24+S24+T24+U24+V24+W24+X24+Y24+Z24+AA24+AB24+AC24+AD24+AE24+AF24+AG24+AH24</f>
        <v>1443828</v>
      </c>
    </row>
    <row r="25" spans="1:35" x14ac:dyDescent="0.25">
      <c r="A25" s="22" t="s">
        <v>56</v>
      </c>
      <c r="B25" s="57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>
        <v>36326</v>
      </c>
      <c r="P25" s="25"/>
      <c r="Q25" s="25"/>
      <c r="R25" s="25"/>
      <c r="S25" s="25"/>
      <c r="T25" s="25"/>
      <c r="U25" s="25"/>
      <c r="V25" s="56"/>
      <c r="W25" s="56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18">
        <f>B25+C25+D25+E25+F25+G25+H25+I25+J25+K25+L25+M25+N25+O25+P25+Q25+R25+S25+T25+U25+V25+W25+X26+Y25+Z25+AA25+AB25+AC25+AD25+AE25+AF25+AG25+AH25</f>
        <v>36326</v>
      </c>
    </row>
    <row r="26" spans="1:35" ht="15" customHeight="1" x14ac:dyDescent="0.25">
      <c r="A26" s="22" t="s">
        <v>57</v>
      </c>
      <c r="B26" s="5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56">
        <v>-117382</v>
      </c>
      <c r="W26" s="56"/>
      <c r="X26" s="25"/>
      <c r="Y26" s="25"/>
      <c r="Z26" s="25">
        <v>37609</v>
      </c>
      <c r="AA26" s="25"/>
      <c r="AB26" s="25"/>
      <c r="AC26" s="25"/>
      <c r="AD26" s="25"/>
      <c r="AE26" s="25"/>
      <c r="AF26" s="54"/>
      <c r="AG26" s="25"/>
      <c r="AH26" s="25"/>
      <c r="AI26" s="18">
        <f>B26+C26+D26+E26+F26+G26+H26+I26+J26+K26+L26+M26+N26+O26+P26+Q26+R26+S26+T26+U26+V26+W26+X26+Y26+Z26+AA26+AB26+AC26+AD26+AE26+AF26+AG26+AH26</f>
        <v>-79773</v>
      </c>
    </row>
    <row r="27" spans="1:35" s="12" customFormat="1" x14ac:dyDescent="0.25">
      <c r="A27" s="20" t="s">
        <v>58</v>
      </c>
      <c r="B27" s="59"/>
      <c r="C27" s="54"/>
      <c r="D27" s="54">
        <f>D22-D23</f>
        <v>5956688</v>
      </c>
      <c r="E27" s="25"/>
      <c r="F27" s="54">
        <f>F22-F23</f>
        <v>9212412</v>
      </c>
      <c r="G27" s="54"/>
      <c r="H27" s="54">
        <f>H22-H23</f>
        <v>2426057</v>
      </c>
      <c r="I27" s="54"/>
      <c r="J27" s="54"/>
      <c r="K27" s="54"/>
      <c r="L27" s="54">
        <f>L22-L23</f>
        <v>1297852.9499999997</v>
      </c>
      <c r="M27" s="54"/>
      <c r="N27" s="54">
        <f>N22-N23</f>
        <v>-701281</v>
      </c>
      <c r="O27" s="54">
        <v>4037057</v>
      </c>
      <c r="P27" s="54"/>
      <c r="Q27" s="54"/>
      <c r="R27" s="54"/>
      <c r="S27" s="54"/>
      <c r="T27" s="54"/>
      <c r="U27" s="54"/>
      <c r="V27" s="54">
        <f>V22-V26</f>
        <v>-21707659.457956225</v>
      </c>
      <c r="W27" s="54"/>
      <c r="X27" s="54"/>
      <c r="Y27" s="54"/>
      <c r="Z27" s="54">
        <f>Z20-Z26</f>
        <v>251923</v>
      </c>
      <c r="AA27" s="54">
        <v>-162518</v>
      </c>
      <c r="AB27" s="54"/>
      <c r="AC27" s="54"/>
      <c r="AD27" s="54"/>
      <c r="AE27" s="54"/>
      <c r="AF27" s="54"/>
      <c r="AG27" s="54"/>
      <c r="AH27" s="54"/>
      <c r="AI27" s="21">
        <f>B27+C27+D27+E27+F27+G27+H27+I27+J27+K27+L27+M27+N27+O27+P27+Q27+R27+S27+T27+U27+V27+W27+X27+Y27+Z27+AA27+AB27+AC27+AD27+AE27+AF27+AG27+AH27</f>
        <v>610531.49204377457</v>
      </c>
    </row>
  </sheetData>
  <pageMargins left="0.7" right="0.7" top="0.75" bottom="0.75" header="0.3" footer="0.3"/>
  <pageSetup paperSize="9" orientation="portrait" r:id="rId1"/>
  <ignoredErrors>
    <ignoredError sqref="G21 D21 I15:J15 J21 L21 AE15" formula="1"/>
    <ignoredError sqref="AI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3.140625" style="51" customWidth="1"/>
    <col min="2" max="3" width="16" style="139" customWidth="1"/>
    <col min="4" max="9" width="16" style="7" customWidth="1"/>
    <col min="10" max="11" width="16" style="139" customWidth="1"/>
    <col min="12" max="13" width="16" style="7" customWidth="1"/>
    <col min="14" max="14" width="16" style="139" customWidth="1"/>
    <col min="15" max="17" width="16" style="7" customWidth="1"/>
    <col min="18" max="18" width="16" style="139" customWidth="1"/>
    <col min="19" max="25" width="16" style="7" customWidth="1"/>
    <col min="26" max="27" width="16" style="139" customWidth="1"/>
    <col min="28" max="33" width="16" style="7" customWidth="1"/>
    <col min="34" max="34" width="16" style="139" customWidth="1"/>
    <col min="35" max="35" width="16" style="7" customWidth="1"/>
    <col min="36" max="16384" width="9.140625" style="7"/>
  </cols>
  <sheetData>
    <row r="1" spans="1:35" ht="18.75" x14ac:dyDescent="0.3">
      <c r="A1" s="50" t="s">
        <v>158</v>
      </c>
    </row>
    <row r="2" spans="1:35" x14ac:dyDescent="0.25">
      <c r="A2" s="51" t="s">
        <v>42</v>
      </c>
    </row>
    <row r="3" spans="1:35" s="19" customFormat="1" x14ac:dyDescent="0.25">
      <c r="A3" s="23" t="s">
        <v>0</v>
      </c>
      <c r="B3" s="131" t="s">
        <v>1</v>
      </c>
      <c r="C3" s="131" t="s">
        <v>2</v>
      </c>
      <c r="D3" s="130" t="s">
        <v>3</v>
      </c>
      <c r="E3" s="130" t="s">
        <v>4</v>
      </c>
      <c r="F3" s="130" t="s">
        <v>5</v>
      </c>
      <c r="G3" s="130" t="s">
        <v>6</v>
      </c>
      <c r="H3" s="130" t="s">
        <v>7</v>
      </c>
      <c r="I3" s="130" t="s">
        <v>8</v>
      </c>
      <c r="J3" s="131" t="s">
        <v>9</v>
      </c>
      <c r="K3" s="131" t="s">
        <v>10</v>
      </c>
      <c r="L3" s="130" t="s">
        <v>11</v>
      </c>
      <c r="M3" s="130" t="s">
        <v>12</v>
      </c>
      <c r="N3" s="131" t="s">
        <v>13</v>
      </c>
      <c r="O3" s="130" t="s">
        <v>14</v>
      </c>
      <c r="P3" s="130" t="s">
        <v>15</v>
      </c>
      <c r="Q3" s="130" t="s">
        <v>16</v>
      </c>
      <c r="R3" s="131" t="s">
        <v>17</v>
      </c>
      <c r="S3" s="130" t="s">
        <v>18</v>
      </c>
      <c r="T3" s="130" t="s">
        <v>19</v>
      </c>
      <c r="U3" s="130" t="s">
        <v>20</v>
      </c>
      <c r="V3" s="130" t="s">
        <v>21</v>
      </c>
      <c r="W3" s="130" t="s">
        <v>109</v>
      </c>
      <c r="X3" s="130" t="s">
        <v>110</v>
      </c>
      <c r="Y3" s="130" t="s">
        <v>22</v>
      </c>
      <c r="Z3" s="131" t="s">
        <v>23</v>
      </c>
      <c r="AA3" s="131" t="s">
        <v>24</v>
      </c>
      <c r="AB3" s="130" t="s">
        <v>25</v>
      </c>
      <c r="AC3" s="130" t="s">
        <v>26</v>
      </c>
      <c r="AD3" s="130" t="s">
        <v>27</v>
      </c>
      <c r="AE3" s="130" t="s">
        <v>28</v>
      </c>
      <c r="AF3" s="130" t="s">
        <v>29</v>
      </c>
      <c r="AG3" s="130" t="s">
        <v>30</v>
      </c>
      <c r="AH3" s="131" t="s">
        <v>31</v>
      </c>
      <c r="AI3" s="130" t="s">
        <v>150</v>
      </c>
    </row>
    <row r="4" spans="1:35" s="12" customFormat="1" x14ac:dyDescent="0.25">
      <c r="A4" s="20" t="s">
        <v>59</v>
      </c>
      <c r="B4" s="54"/>
      <c r="C4" s="54"/>
      <c r="D4" s="21"/>
      <c r="E4" s="21"/>
      <c r="F4" s="21"/>
      <c r="G4" s="21"/>
      <c r="H4" s="21"/>
      <c r="I4" s="21"/>
      <c r="J4" s="54"/>
      <c r="K4" s="54"/>
      <c r="L4" s="21"/>
      <c r="M4" s="21"/>
      <c r="N4" s="54"/>
      <c r="O4" s="21"/>
      <c r="P4" s="21"/>
      <c r="Q4" s="21"/>
      <c r="R4" s="54"/>
      <c r="S4" s="21"/>
      <c r="T4" s="21"/>
      <c r="U4" s="21"/>
      <c r="V4" s="21"/>
      <c r="W4" s="21"/>
      <c r="X4" s="21"/>
      <c r="Y4" s="21"/>
      <c r="Z4" s="56"/>
      <c r="AA4" s="56"/>
      <c r="AB4" s="21"/>
      <c r="AC4" s="21"/>
      <c r="AD4" s="21"/>
      <c r="AE4" s="21"/>
      <c r="AF4" s="21"/>
      <c r="AG4" s="21"/>
      <c r="AH4" s="54"/>
      <c r="AI4" s="21"/>
    </row>
    <row r="5" spans="1:35" x14ac:dyDescent="0.25">
      <c r="A5" s="65" t="s">
        <v>113</v>
      </c>
      <c r="B5" s="56">
        <f>1360000000/1000</f>
        <v>1360000</v>
      </c>
      <c r="C5" s="56">
        <v>1328802</v>
      </c>
      <c r="D5" s="41">
        <v>2000000</v>
      </c>
      <c r="E5" s="41">
        <v>3578898</v>
      </c>
      <c r="F5" s="41">
        <v>1102273</v>
      </c>
      <c r="G5" s="41">
        <v>16214453</v>
      </c>
      <c r="H5" s="41">
        <v>2988057</v>
      </c>
      <c r="I5" s="41">
        <v>3647258</v>
      </c>
      <c r="J5" s="56">
        <v>1900500</v>
      </c>
      <c r="K5" s="56">
        <v>1700000</v>
      </c>
      <c r="L5" s="41">
        <v>15000000</v>
      </c>
      <c r="M5" s="41">
        <v>8098037</v>
      </c>
      <c r="N5" s="56">
        <v>3500000</v>
      </c>
      <c r="O5" s="41">
        <v>6050718</v>
      </c>
      <c r="P5" s="41">
        <v>4539483</v>
      </c>
      <c r="Q5" s="41">
        <v>2693215</v>
      </c>
      <c r="R5" s="56">
        <v>1750000</v>
      </c>
      <c r="S5" s="41">
        <v>10846003</v>
      </c>
      <c r="T5" s="41">
        <v>1125000</v>
      </c>
      <c r="U5" s="41">
        <v>9260000</v>
      </c>
      <c r="V5" s="41">
        <v>1000000</v>
      </c>
      <c r="W5" s="159">
        <v>4120000</v>
      </c>
      <c r="X5" s="41">
        <v>2000000</v>
      </c>
      <c r="Y5" s="41">
        <v>2070000</v>
      </c>
      <c r="Z5" s="56">
        <v>2515499</v>
      </c>
      <c r="AA5" s="56">
        <v>5948299</v>
      </c>
      <c r="AB5" s="41">
        <v>4490000</v>
      </c>
      <c r="AC5" s="41">
        <v>2155000</v>
      </c>
      <c r="AD5" s="41">
        <v>2587380</v>
      </c>
      <c r="AE5" s="41">
        <v>4555761</v>
      </c>
      <c r="AF5" s="41">
        <v>7325000</v>
      </c>
      <c r="AG5" s="41">
        <v>1500000</v>
      </c>
      <c r="AH5" s="56">
        <v>3681818</v>
      </c>
      <c r="AI5" s="41">
        <f>SUM(B5:AH5)</f>
        <v>142631454</v>
      </c>
    </row>
    <row r="6" spans="1:35" ht="30" x14ac:dyDescent="0.25">
      <c r="A6" s="65" t="s">
        <v>114</v>
      </c>
      <c r="B6" s="56"/>
      <c r="C6" s="56"/>
      <c r="D6" s="41">
        <v>0</v>
      </c>
      <c r="E6" s="41"/>
      <c r="F6" s="41"/>
      <c r="G6" s="41"/>
      <c r="H6" s="41"/>
      <c r="I6" s="41"/>
      <c r="J6" s="56"/>
      <c r="K6" s="56"/>
      <c r="L6" s="41"/>
      <c r="M6" s="41"/>
      <c r="N6" s="56"/>
      <c r="O6" s="41"/>
      <c r="P6" s="41"/>
      <c r="Q6" s="41"/>
      <c r="R6" s="56"/>
      <c r="S6" s="41"/>
      <c r="T6" s="41"/>
      <c r="U6" s="41"/>
      <c r="V6" s="41"/>
      <c r="W6" s="41"/>
      <c r="X6" s="41"/>
      <c r="Y6" s="41"/>
      <c r="Z6" s="56"/>
      <c r="AA6" s="56"/>
      <c r="AB6" s="41"/>
      <c r="AC6" s="41"/>
      <c r="AD6" s="41"/>
      <c r="AE6" s="41"/>
      <c r="AF6" s="41"/>
      <c r="AG6" s="41"/>
      <c r="AH6" s="56"/>
      <c r="AI6" s="41">
        <f t="shared" ref="AI6:AI30" si="0">SUM(B6:AH6)</f>
        <v>0</v>
      </c>
    </row>
    <row r="7" spans="1:35" x14ac:dyDescent="0.25">
      <c r="A7" s="65" t="s">
        <v>115</v>
      </c>
      <c r="B7" s="56"/>
      <c r="C7" s="56">
        <v>2476198</v>
      </c>
      <c r="D7" s="41">
        <v>33629302</v>
      </c>
      <c r="E7" s="41">
        <v>2604292</v>
      </c>
      <c r="F7" s="41">
        <v>43285610</v>
      </c>
      <c r="G7" s="41">
        <v>1720185</v>
      </c>
      <c r="H7" s="41">
        <v>9973242</v>
      </c>
      <c r="I7" s="41">
        <v>3225813</v>
      </c>
      <c r="J7" s="56"/>
      <c r="K7" s="56"/>
      <c r="L7" s="41">
        <v>22371120.469999999</v>
      </c>
      <c r="M7" s="41"/>
      <c r="N7" s="56"/>
      <c r="O7" s="41">
        <v>11560400</v>
      </c>
      <c r="P7" s="41">
        <v>40872146</v>
      </c>
      <c r="Q7" s="41">
        <v>16056140</v>
      </c>
      <c r="R7" s="56"/>
      <c r="S7" s="41">
        <v>997497</v>
      </c>
      <c r="T7" s="41">
        <v>1455000</v>
      </c>
      <c r="U7" s="41"/>
      <c r="V7" s="41">
        <v>17616082</v>
      </c>
      <c r="W7" s="41">
        <v>152772200</v>
      </c>
      <c r="X7" s="41">
        <v>29566886</v>
      </c>
      <c r="Y7" s="41">
        <v>239527</v>
      </c>
      <c r="Z7" s="56">
        <v>11535649</v>
      </c>
      <c r="AA7" s="56"/>
      <c r="AB7" s="41">
        <v>5755261</v>
      </c>
      <c r="AC7" s="41">
        <v>13326000</v>
      </c>
      <c r="AD7" s="41">
        <v>11581167</v>
      </c>
      <c r="AE7" s="41">
        <v>5745592</v>
      </c>
      <c r="AF7" s="41">
        <v>8074070</v>
      </c>
      <c r="AG7" s="41">
        <v>46698414</v>
      </c>
      <c r="AH7" s="56">
        <v>3819291</v>
      </c>
      <c r="AI7" s="41">
        <f>SUM(B7:AH7)</f>
        <v>496957084.47000003</v>
      </c>
    </row>
    <row r="8" spans="1:35" x14ac:dyDescent="0.25">
      <c r="A8" s="65" t="s">
        <v>139</v>
      </c>
      <c r="B8" s="56">
        <f>51466/1000</f>
        <v>51.466000000000001</v>
      </c>
      <c r="C8" s="56">
        <v>82</v>
      </c>
      <c r="D8" s="41">
        <v>183783</v>
      </c>
      <c r="E8" s="41">
        <v>1614</v>
      </c>
      <c r="F8" s="41">
        <v>275748</v>
      </c>
      <c r="G8" s="41">
        <f>9584+48033</f>
        <v>57617</v>
      </c>
      <c r="H8" s="41">
        <f>15882+126135</f>
        <v>142017</v>
      </c>
      <c r="I8" s="41">
        <f>112+42</f>
        <v>154</v>
      </c>
      <c r="J8" s="56">
        <f>32+66</f>
        <v>98</v>
      </c>
      <c r="K8" s="56">
        <v>-2066</v>
      </c>
      <c r="L8" s="41">
        <v>3203698.57</v>
      </c>
      <c r="M8" s="41">
        <f>-50467-9663</f>
        <v>-60130</v>
      </c>
      <c r="N8" s="56">
        <v>290</v>
      </c>
      <c r="O8" s="41">
        <f>43185+150889</f>
        <v>194074</v>
      </c>
      <c r="P8" s="41">
        <v>7338716</v>
      </c>
      <c r="Q8" s="41">
        <f>-1224-4552</f>
        <v>-5776</v>
      </c>
      <c r="R8" s="56"/>
      <c r="S8" s="41">
        <f>287+691</f>
        <v>978</v>
      </c>
      <c r="T8" s="41">
        <v>1665</v>
      </c>
      <c r="U8" s="41">
        <f>1040+35</f>
        <v>1075</v>
      </c>
      <c r="V8" s="41">
        <v>38524496</v>
      </c>
      <c r="W8" s="159">
        <v>228882572</v>
      </c>
      <c r="X8" s="41">
        <f>78375205+8198533</f>
        <v>86573738</v>
      </c>
      <c r="Y8" s="41">
        <f>551+461</f>
        <v>1012</v>
      </c>
      <c r="Z8" s="56">
        <f>-11337-66897</f>
        <v>-78234</v>
      </c>
      <c r="AA8" s="56">
        <v>-6497</v>
      </c>
      <c r="AB8" s="41">
        <f>-1564-6130</f>
        <v>-7694</v>
      </c>
      <c r="AC8" s="41">
        <f>-78777+3834</f>
        <v>-74943</v>
      </c>
      <c r="AD8" s="41">
        <v>-73511</v>
      </c>
      <c r="AE8" s="41"/>
      <c r="AF8" s="41">
        <f>109240+389505</f>
        <v>498745</v>
      </c>
      <c r="AG8" s="41">
        <f>7599594+34387111</f>
        <v>41986705</v>
      </c>
      <c r="AH8" s="56">
        <f>-5672-14229</f>
        <v>-19901</v>
      </c>
      <c r="AI8" s="41">
        <f t="shared" si="0"/>
        <v>407540177.03600001</v>
      </c>
    </row>
    <row r="9" spans="1:35" x14ac:dyDescent="0.25">
      <c r="A9" s="65" t="s">
        <v>116</v>
      </c>
      <c r="B9" s="56"/>
      <c r="C9" s="62"/>
      <c r="D9" s="41">
        <v>0</v>
      </c>
      <c r="E9" s="41">
        <v>800000</v>
      </c>
      <c r="F9" s="41"/>
      <c r="G9" s="41">
        <v>2200000</v>
      </c>
      <c r="H9" s="41">
        <v>1000000</v>
      </c>
      <c r="I9" s="41">
        <v>430000</v>
      </c>
      <c r="J9" s="56"/>
      <c r="K9" s="56"/>
      <c r="L9" s="41"/>
      <c r="M9" s="41"/>
      <c r="N9" s="56"/>
      <c r="O9" s="41">
        <v>3500000</v>
      </c>
      <c r="P9" s="41">
        <v>4850000</v>
      </c>
      <c r="Q9" s="41"/>
      <c r="R9" s="56"/>
      <c r="S9" s="41"/>
      <c r="T9" s="41">
        <v>2995</v>
      </c>
      <c r="U9" s="41"/>
      <c r="V9" s="41">
        <v>8950000</v>
      </c>
      <c r="W9" s="41"/>
      <c r="X9" s="41"/>
      <c r="Y9" s="41"/>
      <c r="Z9" s="56">
        <v>2300000</v>
      </c>
      <c r="AA9" s="56"/>
      <c r="AB9" s="41">
        <v>1000000</v>
      </c>
      <c r="AC9" s="41"/>
      <c r="AD9" s="41"/>
      <c r="AE9" s="41">
        <v>2500000</v>
      </c>
      <c r="AF9" s="41">
        <v>1780000</v>
      </c>
      <c r="AG9" s="41">
        <v>9000000</v>
      </c>
      <c r="AH9" s="56"/>
      <c r="AI9" s="41">
        <f>SUM(B9:AH9)</f>
        <v>38312995</v>
      </c>
    </row>
    <row r="10" spans="1:35" x14ac:dyDescent="0.25">
      <c r="A10" s="65" t="s">
        <v>142</v>
      </c>
      <c r="B10" s="56"/>
      <c r="C10" s="62"/>
      <c r="D10" s="41"/>
      <c r="E10" s="41"/>
      <c r="F10" s="41"/>
      <c r="G10" s="41"/>
      <c r="H10" s="41"/>
      <c r="I10" s="41"/>
      <c r="J10" s="56"/>
      <c r="K10" s="56"/>
      <c r="L10" s="41"/>
      <c r="M10" s="41"/>
      <c r="N10" s="56">
        <v>2302</v>
      </c>
      <c r="O10" s="41">
        <v>36326</v>
      </c>
      <c r="P10" s="41"/>
      <c r="Q10" s="41"/>
      <c r="R10" s="56"/>
      <c r="S10" s="41"/>
      <c r="T10" s="41"/>
      <c r="U10" s="41"/>
      <c r="V10" s="41"/>
      <c r="W10" s="41"/>
      <c r="X10" s="41"/>
      <c r="Y10" s="41"/>
      <c r="Z10" s="56"/>
      <c r="AA10" s="56"/>
      <c r="AB10" s="41"/>
      <c r="AC10" s="41"/>
      <c r="AD10" s="41"/>
      <c r="AE10" s="41"/>
      <c r="AF10" s="41"/>
      <c r="AG10" s="41"/>
      <c r="AH10" s="56"/>
      <c r="AI10" s="41">
        <f t="shared" si="0"/>
        <v>38628</v>
      </c>
    </row>
    <row r="11" spans="1:35" x14ac:dyDescent="0.25">
      <c r="A11" s="65" t="s">
        <v>132</v>
      </c>
      <c r="B11" s="56"/>
      <c r="C11" s="62"/>
      <c r="D11" s="41"/>
      <c r="E11" s="41"/>
      <c r="F11" s="41"/>
      <c r="G11" s="41"/>
      <c r="H11" s="41"/>
      <c r="I11" s="41"/>
      <c r="J11" s="56"/>
      <c r="K11" s="56"/>
      <c r="L11" s="41"/>
      <c r="M11" s="41"/>
      <c r="N11" s="56"/>
      <c r="O11" s="41"/>
      <c r="P11" s="41"/>
      <c r="Q11" s="41"/>
      <c r="R11" s="56"/>
      <c r="S11" s="41"/>
      <c r="T11" s="41"/>
      <c r="U11" s="41"/>
      <c r="V11" s="41"/>
      <c r="W11" s="41"/>
      <c r="X11" s="41"/>
      <c r="Y11" s="41"/>
      <c r="Z11" s="56"/>
      <c r="AA11" s="56"/>
      <c r="AB11" s="41"/>
      <c r="AC11" s="41"/>
      <c r="AD11" s="41">
        <v>1058</v>
      </c>
      <c r="AE11" s="41"/>
      <c r="AF11" s="41"/>
      <c r="AG11" s="41"/>
      <c r="AH11" s="56"/>
      <c r="AI11" s="41">
        <f t="shared" si="0"/>
        <v>1058</v>
      </c>
    </row>
    <row r="12" spans="1:35" s="12" customFormat="1" x14ac:dyDescent="0.25">
      <c r="A12" s="20" t="s">
        <v>60</v>
      </c>
      <c r="B12" s="54">
        <f>SUM(B4:B11)</f>
        <v>1360051.466</v>
      </c>
      <c r="C12" s="54">
        <f>SUM(C5:C11)</f>
        <v>3805082</v>
      </c>
      <c r="D12" s="21">
        <f>SUM(D4:D11)</f>
        <v>35813085</v>
      </c>
      <c r="E12" s="21">
        <f>SUM(E4:E11)</f>
        <v>6984804</v>
      </c>
      <c r="F12" s="21">
        <f t="shared" ref="F12:AH12" si="1">SUM(F4:F11)</f>
        <v>44663631</v>
      </c>
      <c r="G12" s="21">
        <f t="shared" si="1"/>
        <v>20192255</v>
      </c>
      <c r="H12" s="21">
        <f t="shared" si="1"/>
        <v>14103316</v>
      </c>
      <c r="I12" s="21">
        <f t="shared" si="1"/>
        <v>7303225</v>
      </c>
      <c r="J12" s="54">
        <f t="shared" si="1"/>
        <v>1900598</v>
      </c>
      <c r="K12" s="54">
        <f t="shared" si="1"/>
        <v>1697934</v>
      </c>
      <c r="L12" s="21">
        <f t="shared" si="1"/>
        <v>40574819.039999999</v>
      </c>
      <c r="M12" s="21">
        <f t="shared" si="1"/>
        <v>8037907</v>
      </c>
      <c r="N12" s="54">
        <f t="shared" si="1"/>
        <v>3502592</v>
      </c>
      <c r="O12" s="21">
        <f t="shared" si="1"/>
        <v>21341518</v>
      </c>
      <c r="P12" s="21">
        <f t="shared" si="1"/>
        <v>57600345</v>
      </c>
      <c r="Q12" s="21">
        <f t="shared" si="1"/>
        <v>18743579</v>
      </c>
      <c r="R12" s="54">
        <f t="shared" si="1"/>
        <v>1750000</v>
      </c>
      <c r="S12" s="21">
        <f t="shared" si="1"/>
        <v>11844478</v>
      </c>
      <c r="T12" s="21">
        <f t="shared" si="1"/>
        <v>2584660</v>
      </c>
      <c r="U12" s="21">
        <f t="shared" si="1"/>
        <v>9261075</v>
      </c>
      <c r="V12" s="21">
        <f t="shared" si="1"/>
        <v>66090578</v>
      </c>
      <c r="W12" s="21">
        <f t="shared" si="1"/>
        <v>385774772</v>
      </c>
      <c r="X12" s="21">
        <f t="shared" si="1"/>
        <v>118140624</v>
      </c>
      <c r="Y12" s="21">
        <f>SUM(Y4:Y11)</f>
        <v>2310539</v>
      </c>
      <c r="Z12" s="54">
        <f>SUM(Z4:Z11)</f>
        <v>16272914</v>
      </c>
      <c r="AA12" s="54">
        <f>SUM(AA4:AA11)</f>
        <v>5941802</v>
      </c>
      <c r="AB12" s="21">
        <f t="shared" si="1"/>
        <v>11237567</v>
      </c>
      <c r="AC12" s="21">
        <f t="shared" si="1"/>
        <v>15406057</v>
      </c>
      <c r="AD12" s="21">
        <f t="shared" si="1"/>
        <v>14096094</v>
      </c>
      <c r="AE12" s="21">
        <f t="shared" si="1"/>
        <v>12801353</v>
      </c>
      <c r="AF12" s="21">
        <f t="shared" si="1"/>
        <v>17677815</v>
      </c>
      <c r="AG12" s="21">
        <f t="shared" si="1"/>
        <v>99185119</v>
      </c>
      <c r="AH12" s="54">
        <f t="shared" si="1"/>
        <v>7481208</v>
      </c>
      <c r="AI12" s="21">
        <f>SUM(B12:AH12)</f>
        <v>1085481396.506</v>
      </c>
    </row>
    <row r="13" spans="1:35" s="12" customFormat="1" x14ac:dyDescent="0.25">
      <c r="A13" s="20" t="s">
        <v>61</v>
      </c>
      <c r="B13" s="54"/>
      <c r="C13" s="54"/>
      <c r="D13" s="21"/>
      <c r="E13" s="21"/>
      <c r="F13" s="21"/>
      <c r="G13" s="21"/>
      <c r="H13" s="21"/>
      <c r="I13" s="21"/>
      <c r="J13" s="54"/>
      <c r="K13" s="54"/>
      <c r="L13" s="21"/>
      <c r="M13" s="21"/>
      <c r="N13" s="54"/>
      <c r="O13" s="21"/>
      <c r="P13" s="21"/>
      <c r="Q13" s="21"/>
      <c r="R13" s="54"/>
      <c r="S13" s="21"/>
      <c r="T13" s="21"/>
      <c r="U13" s="21"/>
      <c r="V13" s="21"/>
      <c r="W13" s="21"/>
      <c r="X13" s="21"/>
      <c r="Y13" s="21"/>
      <c r="Z13" s="54"/>
      <c r="AA13" s="54"/>
      <c r="AB13" s="21"/>
      <c r="AC13" s="21"/>
      <c r="AD13" s="21"/>
      <c r="AE13" s="21"/>
      <c r="AF13" s="21"/>
      <c r="AG13" s="21"/>
      <c r="AH13" s="54"/>
      <c r="AI13" s="41"/>
    </row>
    <row r="14" spans="1:35" x14ac:dyDescent="0.25">
      <c r="A14" s="65" t="s">
        <v>117</v>
      </c>
      <c r="B14" s="56"/>
      <c r="C14" s="56">
        <v>749189</v>
      </c>
      <c r="D14" s="41"/>
      <c r="E14" s="41"/>
      <c r="F14" s="41"/>
      <c r="G14" s="41">
        <v>5364723</v>
      </c>
      <c r="H14" s="41">
        <v>7114879</v>
      </c>
      <c r="I14" s="41"/>
      <c r="J14" s="56">
        <v>1314035</v>
      </c>
      <c r="K14" s="56">
        <v>1269595</v>
      </c>
      <c r="L14" s="41"/>
      <c r="M14" s="41"/>
      <c r="N14" s="56">
        <v>3304912</v>
      </c>
      <c r="O14" s="41">
        <v>18154614</v>
      </c>
      <c r="P14" s="41"/>
      <c r="Q14" s="41">
        <v>15147626</v>
      </c>
      <c r="R14" s="56">
        <v>755421</v>
      </c>
      <c r="S14" s="41">
        <v>3325841</v>
      </c>
      <c r="T14" s="41">
        <v>1866030</v>
      </c>
      <c r="U14" s="41">
        <v>3000576</v>
      </c>
      <c r="V14" s="41">
        <v>51495585.63245073</v>
      </c>
      <c r="W14" s="41"/>
      <c r="X14" s="41"/>
      <c r="Y14" s="41">
        <v>1886349</v>
      </c>
      <c r="Z14" s="56">
        <v>11590846</v>
      </c>
      <c r="AA14" s="56"/>
      <c r="AB14" s="41">
        <v>8726886</v>
      </c>
      <c r="AC14" s="41">
        <v>11855445</v>
      </c>
      <c r="AD14" s="41"/>
      <c r="AE14" s="41"/>
      <c r="AF14" s="41">
        <v>12396782</v>
      </c>
      <c r="AG14" s="41"/>
      <c r="AH14" s="56">
        <v>6128614</v>
      </c>
      <c r="AI14" s="41">
        <f t="shared" si="0"/>
        <v>165447948.63245073</v>
      </c>
    </row>
    <row r="15" spans="1:35" x14ac:dyDescent="0.25">
      <c r="A15" s="65" t="s">
        <v>118</v>
      </c>
      <c r="B15" s="56"/>
      <c r="C15" s="56">
        <v>1351558</v>
      </c>
      <c r="D15" s="41"/>
      <c r="E15" s="41"/>
      <c r="F15" s="41"/>
      <c r="G15" s="41">
        <v>26749763</v>
      </c>
      <c r="H15" s="41">
        <v>56511892</v>
      </c>
      <c r="I15" s="41"/>
      <c r="J15" s="56">
        <v>936532</v>
      </c>
      <c r="K15" s="56">
        <v>96702</v>
      </c>
      <c r="L15" s="41"/>
      <c r="M15" s="41"/>
      <c r="N15" s="56">
        <v>29514</v>
      </c>
      <c r="O15" s="41">
        <v>63433015</v>
      </c>
      <c r="P15" s="41"/>
      <c r="Q15" s="41">
        <v>56337187</v>
      </c>
      <c r="R15" s="56">
        <v>1733226</v>
      </c>
      <c r="S15" s="41">
        <v>8007247</v>
      </c>
      <c r="T15" s="41">
        <v>9505153</v>
      </c>
      <c r="U15" s="41">
        <v>3657308</v>
      </c>
      <c r="V15" s="41">
        <v>201952776.3675493</v>
      </c>
      <c r="W15" s="41"/>
      <c r="X15" s="41"/>
      <c r="Y15" s="41">
        <v>1577110</v>
      </c>
      <c r="Z15" s="56">
        <v>68397795</v>
      </c>
      <c r="AA15" s="56"/>
      <c r="AB15" s="41">
        <v>34195071</v>
      </c>
      <c r="AC15" s="41">
        <v>41066473</v>
      </c>
      <c r="AD15" s="41"/>
      <c r="AE15" s="41"/>
      <c r="AF15" s="41">
        <v>53814995</v>
      </c>
      <c r="AG15" s="41"/>
      <c r="AH15" s="56">
        <v>15373236</v>
      </c>
      <c r="AI15" s="41">
        <f t="shared" si="0"/>
        <v>644726553.3675493</v>
      </c>
    </row>
    <row r="16" spans="1:35" s="5" customFormat="1" x14ac:dyDescent="0.25">
      <c r="A16" s="27" t="s">
        <v>126</v>
      </c>
      <c r="B16" s="62">
        <f>1181097171/1000</f>
        <v>1181097.1710000001</v>
      </c>
      <c r="C16" s="62">
        <f>SUM(C14:C15)</f>
        <v>2100747</v>
      </c>
      <c r="D16" s="26">
        <v>76080737</v>
      </c>
      <c r="E16" s="26">
        <v>11686441</v>
      </c>
      <c r="F16" s="26">
        <v>139906917</v>
      </c>
      <c r="G16" s="26">
        <f>SUM(G14:G15)</f>
        <v>32114486</v>
      </c>
      <c r="H16" s="26">
        <f>SUM(H14:H15)</f>
        <v>63626771</v>
      </c>
      <c r="I16" s="26">
        <v>3355491</v>
      </c>
      <c r="J16" s="62">
        <f>SUM(J14:J15)</f>
        <v>2250567</v>
      </c>
      <c r="K16" s="62">
        <f>SUM(K14:K15)</f>
        <v>1366297</v>
      </c>
      <c r="L16" s="26">
        <v>83069410.359999999</v>
      </c>
      <c r="M16" s="26">
        <v>29920265</v>
      </c>
      <c r="N16" s="62">
        <f>SUM(N14:N15)</f>
        <v>3334426</v>
      </c>
      <c r="O16" s="62">
        <f>SUM(O14:O15)</f>
        <v>81587629</v>
      </c>
      <c r="P16" s="26">
        <v>181926680</v>
      </c>
      <c r="Q16" s="26">
        <f t="shared" ref="Q16:V16" si="2">SUM(Q14:Q15)</f>
        <v>71484813</v>
      </c>
      <c r="R16" s="62">
        <f t="shared" si="2"/>
        <v>2488647</v>
      </c>
      <c r="S16" s="26">
        <f t="shared" si="2"/>
        <v>11333088</v>
      </c>
      <c r="T16" s="26">
        <f t="shared" si="2"/>
        <v>11371183</v>
      </c>
      <c r="U16" s="26">
        <f t="shared" si="2"/>
        <v>6657884</v>
      </c>
      <c r="V16" s="26">
        <f t="shared" si="2"/>
        <v>253448362.00000003</v>
      </c>
      <c r="W16" s="158">
        <v>555382128</v>
      </c>
      <c r="X16" s="26">
        <v>228036679</v>
      </c>
      <c r="Y16" s="26">
        <v>3463459</v>
      </c>
      <c r="Z16" s="62"/>
      <c r="AA16" s="62">
        <v>9279195</v>
      </c>
      <c r="AB16" s="26">
        <f>SUM(AB14:AB15)</f>
        <v>42921957</v>
      </c>
      <c r="AC16" s="26">
        <f>SUM(AC14:AC15)</f>
        <v>52921918</v>
      </c>
      <c r="AD16" s="26">
        <v>78764840</v>
      </c>
      <c r="AE16" s="26">
        <v>21647155</v>
      </c>
      <c r="AF16" s="26">
        <f>SUM(AF14:AF15)</f>
        <v>66211777</v>
      </c>
      <c r="AG16" s="26">
        <v>298151002</v>
      </c>
      <c r="AH16" s="62">
        <f>SUM(AH14:AH15)</f>
        <v>21501850</v>
      </c>
      <c r="AI16" s="26">
        <f t="shared" si="0"/>
        <v>2448573898.5310001</v>
      </c>
    </row>
    <row r="17" spans="1:35" x14ac:dyDescent="0.25">
      <c r="A17" s="65" t="s">
        <v>119</v>
      </c>
      <c r="B17" s="56"/>
      <c r="C17" s="56"/>
      <c r="D17" s="41">
        <v>93899</v>
      </c>
      <c r="E17" s="41">
        <v>0</v>
      </c>
      <c r="F17" s="41"/>
      <c r="G17" s="41"/>
      <c r="H17" s="41"/>
      <c r="I17" s="41"/>
      <c r="J17" s="56"/>
      <c r="K17" s="56"/>
      <c r="L17" s="41"/>
      <c r="M17" s="41"/>
      <c r="N17" s="56"/>
      <c r="O17" s="41"/>
      <c r="P17" s="41"/>
      <c r="Q17" s="41"/>
      <c r="R17" s="56"/>
      <c r="S17" s="41"/>
      <c r="T17" s="41"/>
      <c r="U17" s="41"/>
      <c r="V17" s="41">
        <v>1905773</v>
      </c>
      <c r="W17" s="159">
        <v>2601381</v>
      </c>
      <c r="X17" s="41">
        <v>1453961</v>
      </c>
      <c r="Y17" s="41"/>
      <c r="Z17" s="56"/>
      <c r="AA17" s="56"/>
      <c r="AB17" s="41"/>
      <c r="AC17" s="41"/>
      <c r="AD17" s="41"/>
      <c r="AE17" s="41"/>
      <c r="AF17" s="41"/>
      <c r="AG17" s="41">
        <v>2650047</v>
      </c>
      <c r="AH17" s="56"/>
      <c r="AI17" s="41">
        <f t="shared" si="0"/>
        <v>8705061</v>
      </c>
    </row>
    <row r="18" spans="1:35" x14ac:dyDescent="0.25">
      <c r="A18" s="65" t="s">
        <v>120</v>
      </c>
      <c r="B18" s="56">
        <f>9419053/1000</f>
        <v>9419.0529999999999</v>
      </c>
      <c r="C18" s="56">
        <v>499850</v>
      </c>
      <c r="D18" s="41">
        <v>2304149</v>
      </c>
      <c r="E18" s="41">
        <v>327104</v>
      </c>
      <c r="F18" s="41">
        <v>3122686</v>
      </c>
      <c r="G18" s="41">
        <v>205376</v>
      </c>
      <c r="H18" s="41">
        <v>703122</v>
      </c>
      <c r="I18" s="41">
        <v>68101</v>
      </c>
      <c r="J18" s="56">
        <v>837729</v>
      </c>
      <c r="K18" s="56">
        <v>78817</v>
      </c>
      <c r="L18" s="41">
        <v>2310634.2599999998</v>
      </c>
      <c r="M18" s="41">
        <v>852560</v>
      </c>
      <c r="N18" s="56">
        <v>50890</v>
      </c>
      <c r="O18" s="41">
        <v>2095017</v>
      </c>
      <c r="P18" s="41">
        <v>4059857</v>
      </c>
      <c r="Q18" s="41">
        <v>330737</v>
      </c>
      <c r="R18" s="56">
        <v>102992</v>
      </c>
      <c r="S18" s="41">
        <v>254688</v>
      </c>
      <c r="T18" s="41">
        <v>170362</v>
      </c>
      <c r="U18" s="41">
        <v>368833</v>
      </c>
      <c r="V18" s="41">
        <v>3126436.913592923</v>
      </c>
      <c r="W18" s="159">
        <v>5119647</v>
      </c>
      <c r="X18" s="41">
        <v>5064466</v>
      </c>
      <c r="Y18" s="41">
        <v>24375</v>
      </c>
      <c r="Z18" s="56">
        <v>361252</v>
      </c>
      <c r="AA18" s="56">
        <v>459137</v>
      </c>
      <c r="AB18" s="41">
        <v>280593</v>
      </c>
      <c r="AC18" s="41">
        <v>562094</v>
      </c>
      <c r="AD18" s="41">
        <v>491781</v>
      </c>
      <c r="AE18" s="41">
        <v>969609</v>
      </c>
      <c r="AF18" s="41">
        <v>1567388</v>
      </c>
      <c r="AG18" s="41">
        <v>1843795</v>
      </c>
      <c r="AH18" s="56">
        <v>447137</v>
      </c>
      <c r="AI18" s="41">
        <f t="shared" si="0"/>
        <v>39070634.226592928</v>
      </c>
    </row>
    <row r="19" spans="1:35" x14ac:dyDescent="0.25">
      <c r="A19" s="65" t="s">
        <v>121</v>
      </c>
      <c r="B19" s="56"/>
      <c r="C19" s="56"/>
      <c r="D19" s="41">
        <v>75732</v>
      </c>
      <c r="E19" s="41">
        <v>149806</v>
      </c>
      <c r="F19" s="41">
        <v>531358</v>
      </c>
      <c r="G19" s="41"/>
      <c r="H19" s="41">
        <v>772995</v>
      </c>
      <c r="I19" s="41"/>
      <c r="J19" s="56"/>
      <c r="K19" s="56"/>
      <c r="L19" s="41">
        <v>219281.76</v>
      </c>
      <c r="M19" s="41">
        <v>165778</v>
      </c>
      <c r="N19" s="56"/>
      <c r="O19" s="41"/>
      <c r="P19" s="41">
        <v>2114128</v>
      </c>
      <c r="Q19" s="41">
        <v>168500</v>
      </c>
      <c r="R19" s="56"/>
      <c r="S19" s="41"/>
      <c r="T19" s="41">
        <v>99482</v>
      </c>
      <c r="U19" s="41"/>
      <c r="V19" s="41"/>
      <c r="W19" s="159">
        <v>2153431</v>
      </c>
      <c r="X19" s="41"/>
      <c r="Y19" s="41">
        <v>12433</v>
      </c>
      <c r="Z19" s="56">
        <v>372735</v>
      </c>
      <c r="AA19" s="56"/>
      <c r="AB19" s="41"/>
      <c r="AC19" s="41">
        <v>365822</v>
      </c>
      <c r="AD19" s="41">
        <v>415522</v>
      </c>
      <c r="AE19" s="41"/>
      <c r="AF19" s="41">
        <v>329802</v>
      </c>
      <c r="AG19" s="41"/>
      <c r="AH19" s="56">
        <v>10525</v>
      </c>
      <c r="AI19" s="41">
        <f t="shared" si="0"/>
        <v>7957330.7599999998</v>
      </c>
    </row>
    <row r="20" spans="1:35" s="5" customFormat="1" x14ac:dyDescent="0.25">
      <c r="A20" s="27" t="s">
        <v>122</v>
      </c>
      <c r="B20" s="62"/>
      <c r="C20" s="62"/>
      <c r="D20" s="41"/>
      <c r="E20" s="26"/>
      <c r="F20" s="26"/>
      <c r="G20" s="26"/>
      <c r="H20" s="26"/>
      <c r="I20" s="26"/>
      <c r="J20" s="62"/>
      <c r="K20" s="62"/>
      <c r="L20" s="26"/>
      <c r="M20" s="26"/>
      <c r="N20" s="62"/>
      <c r="O20" s="26"/>
      <c r="P20" s="26"/>
      <c r="Q20" s="26"/>
      <c r="R20" s="62"/>
      <c r="S20" s="26"/>
      <c r="T20" s="26"/>
      <c r="U20" s="26"/>
      <c r="V20" s="26"/>
      <c r="W20" s="41"/>
      <c r="X20" s="26"/>
      <c r="Y20" s="26"/>
      <c r="Z20" s="62"/>
      <c r="AA20" s="62"/>
      <c r="AB20" s="26"/>
      <c r="AC20" s="26"/>
      <c r="AD20" s="26"/>
      <c r="AE20" s="26"/>
      <c r="AF20" s="26"/>
      <c r="AG20" s="26"/>
      <c r="AH20" s="62"/>
      <c r="AI20" s="41"/>
    </row>
    <row r="21" spans="1:35" x14ac:dyDescent="0.25">
      <c r="A21" s="65" t="s">
        <v>62</v>
      </c>
      <c r="B21" s="56">
        <f>21354743/1000</f>
        <v>21354.742999999999</v>
      </c>
      <c r="C21" s="56">
        <v>301613</v>
      </c>
      <c r="D21" s="41">
        <v>26491277</v>
      </c>
      <c r="E21" s="41">
        <v>2307276</v>
      </c>
      <c r="F21" s="41">
        <v>8322191</v>
      </c>
      <c r="G21" s="41">
        <v>1184255</v>
      </c>
      <c r="H21" s="41">
        <v>627247</v>
      </c>
      <c r="I21" s="41">
        <v>407337</v>
      </c>
      <c r="J21" s="56">
        <v>34681</v>
      </c>
      <c r="K21" s="56">
        <v>20646</v>
      </c>
      <c r="L21" s="41">
        <v>5125159.57</v>
      </c>
      <c r="M21" s="41">
        <v>1143444</v>
      </c>
      <c r="N21" s="56">
        <v>341542</v>
      </c>
      <c r="O21" s="41">
        <v>4370413</v>
      </c>
      <c r="P21" s="41">
        <v>5918164</v>
      </c>
      <c r="Q21" s="41">
        <v>1893591</v>
      </c>
      <c r="R21" s="56">
        <v>95329</v>
      </c>
      <c r="S21" s="41">
        <v>488720</v>
      </c>
      <c r="T21" s="41">
        <v>261829</v>
      </c>
      <c r="U21" s="41">
        <v>284941</v>
      </c>
      <c r="V21" s="41">
        <v>9306508</v>
      </c>
      <c r="W21" s="159">
        <v>90210671</v>
      </c>
      <c r="X21" s="41">
        <v>22641841</v>
      </c>
      <c r="Y21" s="41">
        <v>49615</v>
      </c>
      <c r="Z21" s="56">
        <v>3373154</v>
      </c>
      <c r="AA21" s="56">
        <v>246453</v>
      </c>
      <c r="AB21" s="41">
        <v>655351</v>
      </c>
      <c r="AC21" s="41">
        <v>390221</v>
      </c>
      <c r="AD21" s="41">
        <v>1100929</v>
      </c>
      <c r="AE21" s="41">
        <v>5019968</v>
      </c>
      <c r="AF21" s="41">
        <v>5116557</v>
      </c>
      <c r="AG21" s="41">
        <v>20207598</v>
      </c>
      <c r="AH21" s="56">
        <v>1374170</v>
      </c>
      <c r="AI21" s="41">
        <f t="shared" si="0"/>
        <v>219334046.31299999</v>
      </c>
    </row>
    <row r="22" spans="1:35" x14ac:dyDescent="0.25">
      <c r="A22" s="65" t="s">
        <v>63</v>
      </c>
      <c r="B22" s="56">
        <f>71193154/1000</f>
        <v>71193.153999999995</v>
      </c>
      <c r="C22" s="56">
        <v>443002</v>
      </c>
      <c r="D22" s="41">
        <v>29293764</v>
      </c>
      <c r="E22" s="41">
        <v>1237173</v>
      </c>
      <c r="F22" s="41">
        <v>17493064</v>
      </c>
      <c r="G22" s="41">
        <v>5218325</v>
      </c>
      <c r="H22" s="41">
        <v>11984841</v>
      </c>
      <c r="I22" s="41">
        <v>447296</v>
      </c>
      <c r="J22" s="56">
        <v>130887</v>
      </c>
      <c r="K22" s="56">
        <v>130690</v>
      </c>
      <c r="L22" s="41">
        <v>13696226.699999999</v>
      </c>
      <c r="M22" s="41">
        <v>4129449</v>
      </c>
      <c r="N22" s="56">
        <v>323387</v>
      </c>
      <c r="O22" s="41">
        <v>15492246</v>
      </c>
      <c r="P22" s="41">
        <v>103477760</v>
      </c>
      <c r="Q22" s="41">
        <v>11699569</v>
      </c>
      <c r="R22" s="56">
        <v>216511</v>
      </c>
      <c r="S22" s="41">
        <v>1307637</v>
      </c>
      <c r="T22" s="41">
        <v>814562</v>
      </c>
      <c r="U22" s="41">
        <v>896718</v>
      </c>
      <c r="V22" s="41">
        <v>80038916</v>
      </c>
      <c r="W22" s="159">
        <v>110800663</v>
      </c>
      <c r="X22" s="41">
        <v>42643934</v>
      </c>
      <c r="Y22" s="41">
        <v>281307</v>
      </c>
      <c r="Z22" s="56">
        <v>9376837</v>
      </c>
      <c r="AA22" s="56">
        <v>1008663</v>
      </c>
      <c r="AB22" s="41">
        <v>3509352</v>
      </c>
      <c r="AC22" s="41">
        <v>5014696</v>
      </c>
      <c r="AD22" s="41">
        <v>3350495</v>
      </c>
      <c r="AE22" s="41">
        <v>5834966</v>
      </c>
      <c r="AF22" s="41">
        <v>7088023</v>
      </c>
      <c r="AG22" s="41">
        <v>38991576</v>
      </c>
      <c r="AH22" s="56">
        <v>8038528</v>
      </c>
      <c r="AI22" s="41">
        <f t="shared" si="0"/>
        <v>534482256.85399997</v>
      </c>
    </row>
    <row r="23" spans="1:35" s="5" customFormat="1" x14ac:dyDescent="0.25">
      <c r="A23" s="27" t="s">
        <v>64</v>
      </c>
      <c r="B23" s="62">
        <f>SUM(B21:B22)</f>
        <v>92547.896999999997</v>
      </c>
      <c r="C23" s="62">
        <f>SUM(C21:C22)</f>
        <v>744615</v>
      </c>
      <c r="D23" s="26">
        <f>SUM(D21:D22)</f>
        <v>55785041</v>
      </c>
      <c r="E23" s="26">
        <f t="shared" ref="E23:AH23" si="3">SUM(E21:E22)</f>
        <v>3544449</v>
      </c>
      <c r="F23" s="26">
        <f t="shared" si="3"/>
        <v>25815255</v>
      </c>
      <c r="G23" s="26">
        <f t="shared" si="3"/>
        <v>6402580</v>
      </c>
      <c r="H23" s="26">
        <f t="shared" si="3"/>
        <v>12612088</v>
      </c>
      <c r="I23" s="26">
        <f t="shared" si="3"/>
        <v>854633</v>
      </c>
      <c r="J23" s="62">
        <f t="shared" si="3"/>
        <v>165568</v>
      </c>
      <c r="K23" s="62">
        <f t="shared" si="3"/>
        <v>151336</v>
      </c>
      <c r="L23" s="26">
        <f t="shared" si="3"/>
        <v>18821386.27</v>
      </c>
      <c r="M23" s="26">
        <f t="shared" si="3"/>
        <v>5272893</v>
      </c>
      <c r="N23" s="62">
        <f t="shared" si="3"/>
        <v>664929</v>
      </c>
      <c r="O23" s="26">
        <f t="shared" si="3"/>
        <v>19862659</v>
      </c>
      <c r="P23" s="26">
        <f t="shared" si="3"/>
        <v>109395924</v>
      </c>
      <c r="Q23" s="26">
        <f t="shared" si="3"/>
        <v>13593160</v>
      </c>
      <c r="R23" s="62">
        <f t="shared" si="3"/>
        <v>311840</v>
      </c>
      <c r="S23" s="26">
        <f t="shared" si="3"/>
        <v>1796357</v>
      </c>
      <c r="T23" s="26">
        <f t="shared" si="3"/>
        <v>1076391</v>
      </c>
      <c r="U23" s="26">
        <f t="shared" si="3"/>
        <v>1181659</v>
      </c>
      <c r="V23" s="26">
        <f t="shared" si="3"/>
        <v>89345424</v>
      </c>
      <c r="W23" s="26">
        <f t="shared" si="3"/>
        <v>201011334</v>
      </c>
      <c r="X23" s="26">
        <f t="shared" si="3"/>
        <v>65285775</v>
      </c>
      <c r="Y23" s="26">
        <f>SUM(Y21:Y22)</f>
        <v>330922</v>
      </c>
      <c r="Z23" s="62">
        <f>SUM(Z21:Z22)</f>
        <v>12749991</v>
      </c>
      <c r="AA23" s="62">
        <v>1255116</v>
      </c>
      <c r="AB23" s="26">
        <f t="shared" si="3"/>
        <v>4164703</v>
      </c>
      <c r="AC23" s="26">
        <f t="shared" si="3"/>
        <v>5404917</v>
      </c>
      <c r="AD23" s="26">
        <f t="shared" si="3"/>
        <v>4451424</v>
      </c>
      <c r="AE23" s="26">
        <f t="shared" si="3"/>
        <v>10854934</v>
      </c>
      <c r="AF23" s="26">
        <f t="shared" si="3"/>
        <v>12204580</v>
      </c>
      <c r="AG23" s="26">
        <f t="shared" si="3"/>
        <v>59199174</v>
      </c>
      <c r="AH23" s="62">
        <f t="shared" si="3"/>
        <v>9412698</v>
      </c>
      <c r="AI23" s="26">
        <f t="shared" si="0"/>
        <v>753816303.16700006</v>
      </c>
    </row>
    <row r="24" spans="1:35" x14ac:dyDescent="0.25">
      <c r="A24" s="65" t="s">
        <v>123</v>
      </c>
      <c r="B24" s="56">
        <f>34845965/1000</f>
        <v>34845.964999999997</v>
      </c>
      <c r="C24" s="56">
        <v>1284815</v>
      </c>
      <c r="D24" s="41">
        <v>88693161</v>
      </c>
      <c r="E24" s="41">
        <v>3843183</v>
      </c>
      <c r="F24" s="41">
        <v>88175499</v>
      </c>
      <c r="G24" s="41">
        <v>24888639</v>
      </c>
      <c r="H24" s="41">
        <v>43986845</v>
      </c>
      <c r="I24" s="41">
        <v>1202008</v>
      </c>
      <c r="J24" s="56">
        <v>1005472</v>
      </c>
      <c r="K24" s="56">
        <v>188007</v>
      </c>
      <c r="L24" s="41">
        <v>57405911.939999998</v>
      </c>
      <c r="M24" s="41">
        <v>20373411</v>
      </c>
      <c r="N24" s="56">
        <v>623213</v>
      </c>
      <c r="O24" s="41">
        <v>59339619</v>
      </c>
      <c r="P24" s="41">
        <v>195112294</v>
      </c>
      <c r="Q24" s="41">
        <v>48029944</v>
      </c>
      <c r="R24" s="56">
        <v>968884</v>
      </c>
      <c r="S24" s="41">
        <v>5739246</v>
      </c>
      <c r="T24" s="41">
        <v>8224453</v>
      </c>
      <c r="U24" s="41">
        <v>2673645</v>
      </c>
      <c r="V24" s="41">
        <v>224486120</v>
      </c>
      <c r="W24" s="159">
        <v>273552784</v>
      </c>
      <c r="X24" s="41">
        <v>120811288</v>
      </c>
      <c r="Y24" s="41">
        <v>991382</v>
      </c>
      <c r="Z24" s="56">
        <v>63436090</v>
      </c>
      <c r="AA24" s="56">
        <v>4208139</v>
      </c>
      <c r="AB24" s="41">
        <v>25300269</v>
      </c>
      <c r="AC24" s="41">
        <v>28797412</v>
      </c>
      <c r="AD24" s="41">
        <v>58603721</v>
      </c>
      <c r="AE24" s="41">
        <v>5374931</v>
      </c>
      <c r="AF24" s="41">
        <v>39990916</v>
      </c>
      <c r="AG24" s="41">
        <v>190686732</v>
      </c>
      <c r="AH24" s="56">
        <v>17990230</v>
      </c>
      <c r="AI24" s="41">
        <f t="shared" si="0"/>
        <v>1706023109.905</v>
      </c>
    </row>
    <row r="25" spans="1:35" x14ac:dyDescent="0.25">
      <c r="A25" s="65" t="s">
        <v>124</v>
      </c>
      <c r="B25" s="56">
        <f>7839132/1000</f>
        <v>7839.1319999999996</v>
      </c>
      <c r="C25" s="56">
        <v>1166273</v>
      </c>
      <c r="D25" s="41">
        <v>9833313</v>
      </c>
      <c r="E25" s="41">
        <v>6825978</v>
      </c>
      <c r="F25" s="41">
        <v>36537086</v>
      </c>
      <c r="G25" s="41">
        <v>6398449</v>
      </c>
      <c r="H25" s="41">
        <v>19624815</v>
      </c>
      <c r="I25" s="41">
        <v>1659237</v>
      </c>
      <c r="J25" s="56">
        <v>579472</v>
      </c>
      <c r="K25" s="56">
        <v>6024</v>
      </c>
      <c r="L25" s="41">
        <v>6439981.6699999999</v>
      </c>
      <c r="M25" s="41">
        <v>8337114</v>
      </c>
      <c r="N25" s="56">
        <v>687971</v>
      </c>
      <c r="O25" s="41">
        <v>22864168</v>
      </c>
      <c r="P25" s="41">
        <v>44783950</v>
      </c>
      <c r="Q25" s="41">
        <v>18803687</v>
      </c>
      <c r="R25" s="56">
        <v>957290</v>
      </c>
      <c r="S25" s="41">
        <v>3934861</v>
      </c>
      <c r="T25" s="41">
        <v>2183698</v>
      </c>
      <c r="U25" s="41">
        <v>2975222</v>
      </c>
      <c r="V25" s="41">
        <v>57249298</v>
      </c>
      <c r="W25" s="159">
        <v>109709684</v>
      </c>
      <c r="X25" s="41">
        <v>60888969</v>
      </c>
      <c r="Y25" s="41">
        <v>529267</v>
      </c>
      <c r="Z25" s="56">
        <v>13763615</v>
      </c>
      <c r="AA25" s="56">
        <v>4024804</v>
      </c>
      <c r="AB25" s="41">
        <v>11175691</v>
      </c>
      <c r="AC25" s="41">
        <v>15589129</v>
      </c>
      <c r="AD25" s="41">
        <v>11423752</v>
      </c>
      <c r="AE25" s="41">
        <v>16000861</v>
      </c>
      <c r="AF25" s="41">
        <v>22644816</v>
      </c>
      <c r="AG25" s="41">
        <v>71972167</v>
      </c>
      <c r="AH25" s="56">
        <v>5900772</v>
      </c>
      <c r="AI25" s="41">
        <f t="shared" si="0"/>
        <v>595479253.80200005</v>
      </c>
    </row>
    <row r="26" spans="1:35" s="5" customFormat="1" x14ac:dyDescent="0.25">
      <c r="A26" s="27" t="s">
        <v>65</v>
      </c>
      <c r="B26" s="62">
        <f>SUM(B24:B25)</f>
        <v>42685.096999999994</v>
      </c>
      <c r="C26" s="62">
        <f>SUM(C24:C25)</f>
        <v>2451088</v>
      </c>
      <c r="D26" s="26">
        <f>SUM(D24:D25)</f>
        <v>98526474</v>
      </c>
      <c r="E26" s="26">
        <f t="shared" ref="E26:AH26" si="4">SUM(E24:E25)</f>
        <v>10669161</v>
      </c>
      <c r="F26" s="26">
        <f t="shared" si="4"/>
        <v>124712585</v>
      </c>
      <c r="G26" s="26">
        <f t="shared" si="4"/>
        <v>31287088</v>
      </c>
      <c r="H26" s="26">
        <f t="shared" si="4"/>
        <v>63611660</v>
      </c>
      <c r="I26" s="26">
        <f t="shared" si="4"/>
        <v>2861245</v>
      </c>
      <c r="J26" s="62">
        <f t="shared" si="4"/>
        <v>1584944</v>
      </c>
      <c r="K26" s="62">
        <f t="shared" si="4"/>
        <v>194031</v>
      </c>
      <c r="L26" s="26">
        <f t="shared" si="4"/>
        <v>63845893.609999999</v>
      </c>
      <c r="M26" s="26">
        <f t="shared" si="4"/>
        <v>28710525</v>
      </c>
      <c r="N26" s="62">
        <f t="shared" si="4"/>
        <v>1311184</v>
      </c>
      <c r="O26" s="26">
        <f t="shared" si="4"/>
        <v>82203787</v>
      </c>
      <c r="P26" s="26">
        <f t="shared" si="4"/>
        <v>239896244</v>
      </c>
      <c r="Q26" s="26">
        <f t="shared" si="4"/>
        <v>66833631</v>
      </c>
      <c r="R26" s="62">
        <f t="shared" si="4"/>
        <v>1926174</v>
      </c>
      <c r="S26" s="26">
        <f t="shared" si="4"/>
        <v>9674107</v>
      </c>
      <c r="T26" s="26">
        <f t="shared" si="4"/>
        <v>10408151</v>
      </c>
      <c r="U26" s="26">
        <f t="shared" si="4"/>
        <v>5648867</v>
      </c>
      <c r="V26" s="26">
        <f t="shared" si="4"/>
        <v>281735418</v>
      </c>
      <c r="W26" s="26">
        <f t="shared" si="4"/>
        <v>383262468</v>
      </c>
      <c r="X26" s="26">
        <f t="shared" si="4"/>
        <v>181700257</v>
      </c>
      <c r="Y26" s="26">
        <f>SUM(Y24:Y25)</f>
        <v>1520649</v>
      </c>
      <c r="Z26" s="62">
        <f>SUM(Z24:Z25)</f>
        <v>77199705</v>
      </c>
      <c r="AA26" s="62">
        <f t="shared" si="4"/>
        <v>8232943</v>
      </c>
      <c r="AB26" s="26">
        <f t="shared" si="4"/>
        <v>36475960</v>
      </c>
      <c r="AC26" s="26">
        <f t="shared" si="4"/>
        <v>44386541</v>
      </c>
      <c r="AD26" s="26">
        <f t="shared" si="4"/>
        <v>70027473</v>
      </c>
      <c r="AE26" s="26">
        <f t="shared" si="4"/>
        <v>21375792</v>
      </c>
      <c r="AF26" s="26">
        <f t="shared" si="4"/>
        <v>62635732</v>
      </c>
      <c r="AG26" s="26">
        <f t="shared" si="4"/>
        <v>262658899</v>
      </c>
      <c r="AH26" s="62">
        <f t="shared" si="4"/>
        <v>23891002</v>
      </c>
      <c r="AI26" s="26">
        <f t="shared" si="0"/>
        <v>2301502363.7069998</v>
      </c>
    </row>
    <row r="27" spans="1:35" s="12" customFormat="1" x14ac:dyDescent="0.25">
      <c r="A27" s="20" t="s">
        <v>66</v>
      </c>
      <c r="B27" s="54">
        <f>B23-B26</f>
        <v>49862.8</v>
      </c>
      <c r="C27" s="54">
        <f>C26-C23</f>
        <v>1706473</v>
      </c>
      <c r="D27" s="21">
        <f>D23-D26</f>
        <v>-42741433</v>
      </c>
      <c r="E27" s="21">
        <f t="shared" ref="E27:AH27" si="5">E23-E26</f>
        <v>-7124712</v>
      </c>
      <c r="F27" s="21">
        <f t="shared" si="5"/>
        <v>-98897330</v>
      </c>
      <c r="G27" s="21">
        <f t="shared" si="5"/>
        <v>-24884508</v>
      </c>
      <c r="H27" s="21">
        <f t="shared" si="5"/>
        <v>-50999572</v>
      </c>
      <c r="I27" s="21">
        <f t="shared" si="5"/>
        <v>-2006612</v>
      </c>
      <c r="J27" s="54">
        <f t="shared" si="5"/>
        <v>-1419376</v>
      </c>
      <c r="K27" s="54">
        <f t="shared" si="5"/>
        <v>-42695</v>
      </c>
      <c r="L27" s="21">
        <f t="shared" si="5"/>
        <v>-45024507.340000004</v>
      </c>
      <c r="M27" s="21">
        <f t="shared" si="5"/>
        <v>-23437632</v>
      </c>
      <c r="N27" s="54">
        <f t="shared" si="5"/>
        <v>-646255</v>
      </c>
      <c r="O27" s="21">
        <f t="shared" si="5"/>
        <v>-62341128</v>
      </c>
      <c r="P27" s="21">
        <f t="shared" si="5"/>
        <v>-130500320</v>
      </c>
      <c r="Q27" s="21">
        <f t="shared" si="5"/>
        <v>-53240471</v>
      </c>
      <c r="R27" s="54">
        <f t="shared" si="5"/>
        <v>-1614334</v>
      </c>
      <c r="S27" s="21">
        <f t="shared" si="5"/>
        <v>-7877750</v>
      </c>
      <c r="T27" s="21">
        <f t="shared" si="5"/>
        <v>-9331760</v>
      </c>
      <c r="U27" s="21">
        <f t="shared" si="5"/>
        <v>-4467208</v>
      </c>
      <c r="V27" s="21">
        <f t="shared" si="5"/>
        <v>-192389994</v>
      </c>
      <c r="W27" s="21">
        <f t="shared" si="5"/>
        <v>-182251134</v>
      </c>
      <c r="X27" s="21">
        <f t="shared" si="5"/>
        <v>-116414482</v>
      </c>
      <c r="Y27" s="21">
        <f>Y23-Y26</f>
        <v>-1189727</v>
      </c>
      <c r="Z27" s="54">
        <f>Z23-Z26</f>
        <v>-64449714</v>
      </c>
      <c r="AA27" s="54">
        <f t="shared" si="5"/>
        <v>-6977827</v>
      </c>
      <c r="AB27" s="21">
        <f t="shared" si="5"/>
        <v>-32311257</v>
      </c>
      <c r="AC27" s="21">
        <f t="shared" si="5"/>
        <v>-38981624</v>
      </c>
      <c r="AD27" s="21">
        <f t="shared" si="5"/>
        <v>-65576049</v>
      </c>
      <c r="AE27" s="21">
        <f t="shared" si="5"/>
        <v>-10520858</v>
      </c>
      <c r="AF27" s="21">
        <f t="shared" si="5"/>
        <v>-50431152</v>
      </c>
      <c r="AG27" s="21">
        <f t="shared" si="5"/>
        <v>-203459725</v>
      </c>
      <c r="AH27" s="54">
        <f t="shared" si="5"/>
        <v>-14478304</v>
      </c>
      <c r="AI27" s="21">
        <f t="shared" si="0"/>
        <v>-1544273114.54</v>
      </c>
    </row>
    <row r="28" spans="1:35" ht="30" x14ac:dyDescent="0.25">
      <c r="A28" s="65" t="s">
        <v>125</v>
      </c>
      <c r="B28" s="56"/>
      <c r="C28" s="56"/>
      <c r="D28" s="41"/>
      <c r="E28" s="41"/>
      <c r="F28" s="41"/>
      <c r="G28" s="41"/>
      <c r="H28" s="41"/>
      <c r="I28" s="41"/>
      <c r="J28" s="56"/>
      <c r="K28" s="56"/>
      <c r="L28" s="41"/>
      <c r="M28" s="41"/>
      <c r="N28" s="56"/>
      <c r="O28" s="41"/>
      <c r="P28" s="41"/>
      <c r="Q28" s="41"/>
      <c r="R28" s="56"/>
      <c r="S28" s="41"/>
      <c r="T28" s="41"/>
      <c r="U28" s="41"/>
      <c r="V28" s="41"/>
      <c r="W28" s="158">
        <v>2769320</v>
      </c>
      <c r="X28" s="41"/>
      <c r="Y28" s="41"/>
      <c r="Z28" s="56"/>
      <c r="AA28" s="56"/>
      <c r="AB28" s="41"/>
      <c r="AC28" s="41"/>
      <c r="AD28" s="41"/>
      <c r="AE28" s="41"/>
      <c r="AF28" s="41"/>
      <c r="AG28" s="41"/>
      <c r="AH28" s="56"/>
      <c r="AI28" s="41">
        <f t="shared" si="0"/>
        <v>2769320</v>
      </c>
    </row>
    <row r="29" spans="1:35" ht="30" x14ac:dyDescent="0.25">
      <c r="A29" s="65" t="s">
        <v>127</v>
      </c>
      <c r="B29" s="56">
        <f>119672441/1000</f>
        <v>119672.44100000001</v>
      </c>
      <c r="C29" s="56">
        <v>2910958</v>
      </c>
      <c r="D29" s="41"/>
      <c r="E29" s="41">
        <v>1946165</v>
      </c>
      <c r="F29" s="41"/>
      <c r="G29" s="41">
        <v>12756901</v>
      </c>
      <c r="H29" s="41"/>
      <c r="I29" s="41">
        <v>5886245</v>
      </c>
      <c r="J29" s="56">
        <v>231678</v>
      </c>
      <c r="K29" s="56">
        <v>295515</v>
      </c>
      <c r="L29" s="41"/>
      <c r="M29" s="41">
        <v>1389495</v>
      </c>
      <c r="N29" s="56">
        <v>763532</v>
      </c>
      <c r="O29" s="41"/>
      <c r="P29" s="41"/>
      <c r="Q29" s="41"/>
      <c r="R29" s="56">
        <v>772695</v>
      </c>
      <c r="S29" s="41">
        <v>8134453</v>
      </c>
      <c r="T29" s="41">
        <v>275393</v>
      </c>
      <c r="U29" s="41">
        <v>6701566</v>
      </c>
      <c r="V29" s="41"/>
      <c r="W29" s="41"/>
      <c r="X29" s="41"/>
      <c r="Y29" s="41"/>
      <c r="Z29" s="56"/>
      <c r="AA29" s="56"/>
      <c r="AB29" s="41"/>
      <c r="AC29" s="41">
        <v>537847</v>
      </c>
      <c r="AD29" s="41"/>
      <c r="AE29" s="41">
        <v>705447</v>
      </c>
      <c r="AF29" s="41"/>
      <c r="AG29" s="41"/>
      <c r="AH29" s="56"/>
      <c r="AI29" s="41">
        <f t="shared" si="0"/>
        <v>43427562.441</v>
      </c>
    </row>
    <row r="30" spans="1:35" s="12" customFormat="1" x14ac:dyDescent="0.25">
      <c r="A30" s="20" t="s">
        <v>60</v>
      </c>
      <c r="B30" s="54">
        <f>1360051466/1000</f>
        <v>1360051.466</v>
      </c>
      <c r="C30" s="54">
        <v>3805082</v>
      </c>
      <c r="D30" s="21"/>
      <c r="E30" s="21">
        <v>6984804</v>
      </c>
      <c r="F30" s="21">
        <v>44663631</v>
      </c>
      <c r="G30" s="21">
        <v>20192255</v>
      </c>
      <c r="H30" s="21">
        <v>14103316</v>
      </c>
      <c r="I30" s="21">
        <v>7303225</v>
      </c>
      <c r="J30" s="54">
        <v>1900598</v>
      </c>
      <c r="K30" s="54">
        <v>1697934</v>
      </c>
      <c r="L30" s="21">
        <v>40574819.039999999</v>
      </c>
      <c r="M30" s="21">
        <v>8037907</v>
      </c>
      <c r="N30" s="54">
        <v>3502593</v>
      </c>
      <c r="O30" s="21">
        <v>21341518</v>
      </c>
      <c r="P30" s="21">
        <v>57600345</v>
      </c>
      <c r="Q30" s="21">
        <v>18743579</v>
      </c>
      <c r="R30" s="54">
        <v>1750000</v>
      </c>
      <c r="S30" s="21">
        <v>11844480</v>
      </c>
      <c r="T30" s="21">
        <v>2584660</v>
      </c>
      <c r="U30" s="21">
        <v>9261075</v>
      </c>
      <c r="V30" s="41">
        <v>66090577.913592935</v>
      </c>
      <c r="W30" s="158">
        <v>385774772</v>
      </c>
      <c r="X30" s="21">
        <v>118140624</v>
      </c>
      <c r="Y30" s="21">
        <v>2310539</v>
      </c>
      <c r="Z30" s="54">
        <v>16272914</v>
      </c>
      <c r="AA30" s="54">
        <v>5941802</v>
      </c>
      <c r="AB30" s="21">
        <v>11237567</v>
      </c>
      <c r="AC30" s="21">
        <v>15406057</v>
      </c>
      <c r="AD30" s="21">
        <v>14096094</v>
      </c>
      <c r="AE30" s="21">
        <v>12801353</v>
      </c>
      <c r="AF30" s="21">
        <v>17677815</v>
      </c>
      <c r="AG30" s="21">
        <v>99185119</v>
      </c>
      <c r="AH30" s="54">
        <v>7481208</v>
      </c>
      <c r="AI30" s="21">
        <f t="shared" si="0"/>
        <v>1049668314.4195929</v>
      </c>
    </row>
  </sheetData>
  <pageMargins left="0.7" right="0.7" top="0.75" bottom="0.75" header="0.3" footer="0.3"/>
  <pageSetup paperSize="9" orientation="portrait" r:id="rId1"/>
  <ignoredErrors>
    <ignoredError sqref="C27 C12" formula="1"/>
    <ignoredError sqref="AA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2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3" sqref="B3"/>
    </sheetView>
  </sheetViews>
  <sheetFormatPr defaultRowHeight="15" x14ac:dyDescent="0.25"/>
  <cols>
    <col min="1" max="1" width="37.28515625" style="51" customWidth="1"/>
    <col min="2" max="69" width="15.28515625" style="7" customWidth="1"/>
    <col min="70" max="16384" width="9.140625" style="7"/>
  </cols>
  <sheetData>
    <row r="1" spans="1:69" ht="18.75" x14ac:dyDescent="0.3">
      <c r="A1" s="24" t="s">
        <v>323</v>
      </c>
    </row>
    <row r="2" spans="1:69" x14ac:dyDescent="0.25">
      <c r="A2" s="51" t="s">
        <v>42</v>
      </c>
    </row>
    <row r="3" spans="1:69" s="64" customFormat="1" x14ac:dyDescent="0.25">
      <c r="A3" s="63" t="s">
        <v>104</v>
      </c>
    </row>
    <row r="4" spans="1:69" s="12" customFormat="1" x14ac:dyDescent="0.25">
      <c r="A4" s="20" t="s">
        <v>0</v>
      </c>
      <c r="B4" s="160" t="s">
        <v>1</v>
      </c>
      <c r="C4" s="160"/>
      <c r="D4" s="160" t="s">
        <v>2</v>
      </c>
      <c r="E4" s="160"/>
      <c r="F4" s="160" t="s">
        <v>3</v>
      </c>
      <c r="G4" s="160"/>
      <c r="H4" s="160" t="s">
        <v>4</v>
      </c>
      <c r="I4" s="160"/>
      <c r="J4" s="160" t="s">
        <v>5</v>
      </c>
      <c r="K4" s="160"/>
      <c r="L4" s="160" t="s">
        <v>6</v>
      </c>
      <c r="M4" s="160"/>
      <c r="N4" s="160" t="s">
        <v>7</v>
      </c>
      <c r="O4" s="160"/>
      <c r="P4" s="160" t="s">
        <v>8</v>
      </c>
      <c r="Q4" s="160"/>
      <c r="R4" s="160" t="s">
        <v>9</v>
      </c>
      <c r="S4" s="160"/>
      <c r="T4" s="160" t="s">
        <v>10</v>
      </c>
      <c r="U4" s="160"/>
      <c r="V4" s="160" t="s">
        <v>11</v>
      </c>
      <c r="W4" s="160"/>
      <c r="X4" s="160" t="s">
        <v>12</v>
      </c>
      <c r="Y4" s="160"/>
      <c r="Z4" s="160" t="s">
        <v>13</v>
      </c>
      <c r="AA4" s="160"/>
      <c r="AB4" s="160" t="s">
        <v>14</v>
      </c>
      <c r="AC4" s="160"/>
      <c r="AD4" s="160" t="s">
        <v>15</v>
      </c>
      <c r="AE4" s="160"/>
      <c r="AF4" s="160" t="s">
        <v>16</v>
      </c>
      <c r="AG4" s="160"/>
      <c r="AH4" s="160" t="s">
        <v>17</v>
      </c>
      <c r="AI4" s="160"/>
      <c r="AJ4" s="160" t="s">
        <v>18</v>
      </c>
      <c r="AK4" s="160"/>
      <c r="AL4" s="160" t="s">
        <v>19</v>
      </c>
      <c r="AM4" s="160"/>
      <c r="AN4" s="160" t="s">
        <v>20</v>
      </c>
      <c r="AO4" s="160"/>
      <c r="AP4" s="160" t="s">
        <v>21</v>
      </c>
      <c r="AQ4" s="160"/>
      <c r="AR4" s="160" t="s">
        <v>109</v>
      </c>
      <c r="AS4" s="160"/>
      <c r="AT4" s="160" t="s">
        <v>110</v>
      </c>
      <c r="AU4" s="160"/>
      <c r="AV4" s="160" t="s">
        <v>22</v>
      </c>
      <c r="AW4" s="160"/>
      <c r="AX4" s="160" t="s">
        <v>23</v>
      </c>
      <c r="AY4" s="160"/>
      <c r="AZ4" s="160" t="s">
        <v>24</v>
      </c>
      <c r="BA4" s="160"/>
      <c r="BB4" s="160" t="s">
        <v>25</v>
      </c>
      <c r="BC4" s="160"/>
      <c r="BD4" s="160" t="s">
        <v>26</v>
      </c>
      <c r="BE4" s="160"/>
      <c r="BF4" s="160" t="s">
        <v>27</v>
      </c>
      <c r="BG4" s="160"/>
      <c r="BH4" s="160" t="s">
        <v>28</v>
      </c>
      <c r="BI4" s="160"/>
      <c r="BJ4" s="160" t="s">
        <v>29</v>
      </c>
      <c r="BK4" s="160"/>
      <c r="BL4" s="160" t="s">
        <v>30</v>
      </c>
      <c r="BM4" s="160"/>
      <c r="BN4" s="160" t="s">
        <v>31</v>
      </c>
      <c r="BO4" s="160"/>
      <c r="BP4" s="160" t="s">
        <v>150</v>
      </c>
      <c r="BQ4" s="160"/>
    </row>
    <row r="5" spans="1:69" s="39" customFormat="1" ht="44.25" customHeight="1" x14ac:dyDescent="0.25">
      <c r="A5" s="40"/>
      <c r="B5" s="40" t="s">
        <v>161</v>
      </c>
      <c r="C5" s="40" t="s">
        <v>162</v>
      </c>
      <c r="D5" s="40" t="s">
        <v>161</v>
      </c>
      <c r="E5" s="40" t="s">
        <v>162</v>
      </c>
      <c r="F5" s="40" t="s">
        <v>161</v>
      </c>
      <c r="G5" s="40" t="s">
        <v>162</v>
      </c>
      <c r="H5" s="40" t="s">
        <v>161</v>
      </c>
      <c r="I5" s="40" t="s">
        <v>162</v>
      </c>
      <c r="J5" s="40" t="s">
        <v>161</v>
      </c>
      <c r="K5" s="40" t="s">
        <v>162</v>
      </c>
      <c r="L5" s="40" t="s">
        <v>161</v>
      </c>
      <c r="M5" s="40" t="s">
        <v>162</v>
      </c>
      <c r="N5" s="40" t="s">
        <v>161</v>
      </c>
      <c r="O5" s="40" t="s">
        <v>162</v>
      </c>
      <c r="P5" s="40" t="s">
        <v>161</v>
      </c>
      <c r="Q5" s="40" t="s">
        <v>162</v>
      </c>
      <c r="R5" s="40" t="s">
        <v>161</v>
      </c>
      <c r="S5" s="40" t="s">
        <v>162</v>
      </c>
      <c r="T5" s="40" t="s">
        <v>161</v>
      </c>
      <c r="U5" s="40" t="s">
        <v>162</v>
      </c>
      <c r="V5" s="40" t="s">
        <v>161</v>
      </c>
      <c r="W5" s="40" t="s">
        <v>162</v>
      </c>
      <c r="X5" s="40" t="s">
        <v>161</v>
      </c>
      <c r="Y5" s="40" t="s">
        <v>162</v>
      </c>
      <c r="Z5" s="40" t="s">
        <v>161</v>
      </c>
      <c r="AA5" s="40" t="s">
        <v>162</v>
      </c>
      <c r="AB5" s="40" t="s">
        <v>161</v>
      </c>
      <c r="AC5" s="40" t="s">
        <v>162</v>
      </c>
      <c r="AD5" s="40" t="s">
        <v>161</v>
      </c>
      <c r="AE5" s="40" t="s">
        <v>162</v>
      </c>
      <c r="AF5" s="40" t="s">
        <v>161</v>
      </c>
      <c r="AG5" s="40" t="s">
        <v>162</v>
      </c>
      <c r="AH5" s="40" t="s">
        <v>161</v>
      </c>
      <c r="AI5" s="40" t="s">
        <v>162</v>
      </c>
      <c r="AJ5" s="40" t="s">
        <v>161</v>
      </c>
      <c r="AK5" s="40" t="s">
        <v>162</v>
      </c>
      <c r="AL5" s="40" t="s">
        <v>161</v>
      </c>
      <c r="AM5" s="40" t="s">
        <v>162</v>
      </c>
      <c r="AN5" s="40" t="s">
        <v>161</v>
      </c>
      <c r="AO5" s="40" t="s">
        <v>162</v>
      </c>
      <c r="AP5" s="40" t="s">
        <v>161</v>
      </c>
      <c r="AQ5" s="40" t="s">
        <v>162</v>
      </c>
      <c r="AR5" s="40" t="s">
        <v>161</v>
      </c>
      <c r="AS5" s="40" t="s">
        <v>162</v>
      </c>
      <c r="AT5" s="40" t="s">
        <v>161</v>
      </c>
      <c r="AU5" s="40" t="s">
        <v>162</v>
      </c>
      <c r="AV5" s="40" t="s">
        <v>161</v>
      </c>
      <c r="AW5" s="40" t="s">
        <v>162</v>
      </c>
      <c r="AX5" s="40" t="s">
        <v>161</v>
      </c>
      <c r="AY5" s="40" t="s">
        <v>162</v>
      </c>
      <c r="AZ5" s="40" t="s">
        <v>161</v>
      </c>
      <c r="BA5" s="40" t="s">
        <v>162</v>
      </c>
      <c r="BB5" s="40" t="s">
        <v>161</v>
      </c>
      <c r="BC5" s="40" t="s">
        <v>162</v>
      </c>
      <c r="BD5" s="40" t="s">
        <v>161</v>
      </c>
      <c r="BE5" s="40" t="s">
        <v>162</v>
      </c>
      <c r="BF5" s="40" t="s">
        <v>161</v>
      </c>
      <c r="BG5" s="40" t="s">
        <v>162</v>
      </c>
      <c r="BH5" s="40" t="s">
        <v>161</v>
      </c>
      <c r="BI5" s="40" t="s">
        <v>162</v>
      </c>
      <c r="BJ5" s="40" t="s">
        <v>161</v>
      </c>
      <c r="BK5" s="40" t="s">
        <v>162</v>
      </c>
      <c r="BL5" s="40" t="s">
        <v>161</v>
      </c>
      <c r="BM5" s="40" t="s">
        <v>162</v>
      </c>
      <c r="BN5" s="40" t="s">
        <v>161</v>
      </c>
      <c r="BO5" s="40" t="s">
        <v>162</v>
      </c>
      <c r="BP5" s="40" t="s">
        <v>161</v>
      </c>
      <c r="BQ5" s="40" t="s">
        <v>162</v>
      </c>
    </row>
    <row r="6" spans="1:69" ht="30" x14ac:dyDescent="0.25">
      <c r="A6" s="65" t="s">
        <v>163</v>
      </c>
      <c r="B6" s="41"/>
      <c r="C6" s="41"/>
      <c r="D6" s="41"/>
      <c r="E6" s="41"/>
      <c r="F6" s="41"/>
      <c r="G6" s="41"/>
      <c r="H6" s="41"/>
      <c r="I6" s="41"/>
      <c r="J6" s="66">
        <v>2396423</v>
      </c>
      <c r="K6" s="41">
        <v>8210447</v>
      </c>
      <c r="L6" s="41">
        <v>207221</v>
      </c>
      <c r="M6" s="41">
        <v>610510</v>
      </c>
      <c r="N6" s="41">
        <v>574007</v>
      </c>
      <c r="O6" s="41">
        <v>3254076</v>
      </c>
      <c r="P6" s="41"/>
      <c r="Q6" s="41"/>
      <c r="R6" s="41">
        <v>438127</v>
      </c>
      <c r="S6" s="41">
        <v>608456</v>
      </c>
      <c r="T6" s="41"/>
      <c r="U6" s="41"/>
      <c r="V6" s="41"/>
      <c r="W6" s="41"/>
      <c r="X6" s="41">
        <v>535506</v>
      </c>
      <c r="Y6" s="41">
        <v>2418763</v>
      </c>
      <c r="Z6" s="41">
        <v>137452</v>
      </c>
      <c r="AA6" s="41">
        <v>137452</v>
      </c>
      <c r="AB6" s="18">
        <v>1426228</v>
      </c>
      <c r="AC6" s="18">
        <v>6200277</v>
      </c>
      <c r="AD6" s="18">
        <v>1530708</v>
      </c>
      <c r="AE6" s="18">
        <v>9165035</v>
      </c>
      <c r="AF6" s="41">
        <v>553333</v>
      </c>
      <c r="AG6" s="41">
        <v>2753304</v>
      </c>
      <c r="AH6" s="18">
        <v>37250</v>
      </c>
      <c r="AI6" s="18">
        <v>81556</v>
      </c>
      <c r="AJ6" s="41">
        <v>134229</v>
      </c>
      <c r="AK6" s="41">
        <v>442525</v>
      </c>
      <c r="AL6" s="41">
        <v>173543</v>
      </c>
      <c r="AM6" s="41">
        <v>434689</v>
      </c>
      <c r="AN6" s="41"/>
      <c r="AO6" s="41"/>
      <c r="AP6" s="41">
        <v>2265371.1077038888</v>
      </c>
      <c r="AQ6" s="41">
        <v>9167565.6390912887</v>
      </c>
      <c r="AR6" s="41">
        <v>8360825</v>
      </c>
      <c r="AS6" s="41">
        <v>27423056</v>
      </c>
      <c r="AT6" s="41">
        <v>1904930</v>
      </c>
      <c r="AU6" s="41">
        <v>9966243</v>
      </c>
      <c r="AV6" s="41">
        <v>10796</v>
      </c>
      <c r="AW6" s="41">
        <v>27272</v>
      </c>
      <c r="AX6" s="41">
        <v>615573</v>
      </c>
      <c r="AY6" s="41">
        <v>3641769</v>
      </c>
      <c r="AZ6" s="41"/>
      <c r="BA6" s="41"/>
      <c r="BB6" s="43">
        <v>325078</v>
      </c>
      <c r="BC6" s="43">
        <v>1412017</v>
      </c>
      <c r="BD6" s="41">
        <v>2674951</v>
      </c>
      <c r="BE6" s="41">
        <v>7904465</v>
      </c>
      <c r="BF6" s="41">
        <v>91902</v>
      </c>
      <c r="BG6" s="41">
        <v>352214</v>
      </c>
      <c r="BH6" s="41"/>
      <c r="BI6" s="41"/>
      <c r="BJ6" s="41">
        <v>1508361</v>
      </c>
      <c r="BK6" s="41">
        <v>6872880</v>
      </c>
      <c r="BL6" s="41">
        <v>3425003</v>
      </c>
      <c r="BM6" s="41">
        <v>12785718</v>
      </c>
      <c r="BN6" s="41">
        <v>312927</v>
      </c>
      <c r="BO6" s="41">
        <v>1420497</v>
      </c>
      <c r="BP6" s="41">
        <f>B6+D6+F6+H6+J6+L6+N6+P6+R6+T6+V6+X6+Z6+AB6+AD6+AF6+AH6+AJ6+AL6+AN6+AP6+AR6+AT6+AV6+AX6+AZ6+BB6+BD6+BF6+BH6+BJ6+BL6+BN6</f>
        <v>29639744.107703887</v>
      </c>
      <c r="BQ6" s="41">
        <f>C6+E6+G6+I6+K6+M6+O6+Q6+S6+U6+W6+Y6+AA6+AC6+AD13+AG6+AI6+AK6+AM6+AO6+AQ6+AS6+AU6+AW6+AY6+BA6+BC6+BE6+BG6+BI6+BK6+BM6+BO6</f>
        <v>106839882.63909128</v>
      </c>
    </row>
    <row r="7" spans="1:69" x14ac:dyDescent="0.25">
      <c r="A7" s="65" t="s">
        <v>164</v>
      </c>
      <c r="B7" s="41"/>
      <c r="C7" s="41"/>
      <c r="D7" s="41"/>
      <c r="E7" s="41"/>
      <c r="F7" s="41"/>
      <c r="G7" s="41"/>
      <c r="H7" s="41"/>
      <c r="I7" s="41"/>
      <c r="J7" s="68">
        <v>741744</v>
      </c>
      <c r="K7" s="41">
        <v>2552798</v>
      </c>
      <c r="L7" s="41">
        <v>81546</v>
      </c>
      <c r="M7" s="41">
        <v>237528</v>
      </c>
      <c r="N7" s="41">
        <v>421410</v>
      </c>
      <c r="O7" s="41">
        <v>2079490</v>
      </c>
      <c r="P7" s="41"/>
      <c r="Q7" s="41"/>
      <c r="R7" s="41">
        <v>410218</v>
      </c>
      <c r="S7" s="41">
        <v>566091</v>
      </c>
      <c r="T7" s="41"/>
      <c r="U7" s="41"/>
      <c r="V7" s="41"/>
      <c r="W7" s="41"/>
      <c r="X7" s="41">
        <v>194471</v>
      </c>
      <c r="Y7" s="41">
        <v>748555</v>
      </c>
      <c r="Z7" s="41">
        <v>12389</v>
      </c>
      <c r="AA7" s="41">
        <v>13373</v>
      </c>
      <c r="AB7" s="18">
        <v>389782</v>
      </c>
      <c r="AC7" s="18">
        <v>1297555</v>
      </c>
      <c r="AD7" s="18">
        <v>252946</v>
      </c>
      <c r="AE7" s="18">
        <v>1576700</v>
      </c>
      <c r="AF7" s="41">
        <v>81897</v>
      </c>
      <c r="AG7" s="41">
        <v>467848</v>
      </c>
      <c r="AH7" s="18">
        <v>11735</v>
      </c>
      <c r="AI7" s="18">
        <v>43688</v>
      </c>
      <c r="AJ7" s="41">
        <v>59662</v>
      </c>
      <c r="AK7" s="41">
        <v>127308</v>
      </c>
      <c r="AL7" s="41">
        <v>28620</v>
      </c>
      <c r="AM7" s="41">
        <v>67541</v>
      </c>
      <c r="AN7" s="41"/>
      <c r="AO7" s="41"/>
      <c r="AP7" s="41">
        <v>2061146.4802277684</v>
      </c>
      <c r="AQ7" s="41">
        <v>6910595.8705146424</v>
      </c>
      <c r="AR7" s="41">
        <v>5626034</v>
      </c>
      <c r="AS7" s="41">
        <v>19599639</v>
      </c>
      <c r="AT7" s="41">
        <v>1222418</v>
      </c>
      <c r="AU7" s="41">
        <v>5843866</v>
      </c>
      <c r="AV7" s="41">
        <v>1719</v>
      </c>
      <c r="AW7" s="41">
        <v>5328</v>
      </c>
      <c r="AX7" s="41">
        <v>325381</v>
      </c>
      <c r="AY7" s="41">
        <v>1191362</v>
      </c>
      <c r="AZ7" s="41"/>
      <c r="BA7" s="41"/>
      <c r="BB7" s="43">
        <v>103312</v>
      </c>
      <c r="BC7" s="43">
        <v>440804</v>
      </c>
      <c r="BD7" s="41">
        <v>761493</v>
      </c>
      <c r="BE7" s="41">
        <v>-2520971</v>
      </c>
      <c r="BF7" s="41">
        <v>76542</v>
      </c>
      <c r="BG7" s="41">
        <v>270571</v>
      </c>
      <c r="BH7" s="41"/>
      <c r="BI7" s="41"/>
      <c r="BJ7" s="41">
        <v>675538</v>
      </c>
      <c r="BK7" s="41">
        <v>2014576</v>
      </c>
      <c r="BL7" s="41">
        <v>3766103</v>
      </c>
      <c r="BM7" s="41">
        <v>8109598</v>
      </c>
      <c r="BN7" s="41">
        <v>225347</v>
      </c>
      <c r="BO7" s="41">
        <v>661854</v>
      </c>
      <c r="BP7" s="41">
        <f>B7+D7+F7+H7+J7+L7+N7+P7+R7+T7+V7+X7+Z7+AB7+AD7+AF7+AH7+AJ7+AL7+AN7+AP7+AS6+AU6+AV7+AX7+AZ7+BB7+BD7+BF7+BH7+BJ7+BL7+BN7</f>
        <v>48072300.480227768</v>
      </c>
      <c r="BQ7" s="41">
        <f>C7+E7+G7+I7+K7+M7+O7+Q7+S7+U7+W7+Y7+AA7+AC7+AD14+AG7+AI7+AK7+AM7+AO7+AQ7+AS7+AU7+AW7+AY7+BA7+BC7+BE7+BG7+BI7+BK7+BM7+BO7</f>
        <v>51086290.870514646</v>
      </c>
    </row>
    <row r="8" spans="1:69" x14ac:dyDescent="0.25">
      <c r="A8" s="65" t="s">
        <v>165</v>
      </c>
      <c r="B8" s="41"/>
      <c r="C8" s="41"/>
      <c r="D8" s="41"/>
      <c r="E8" s="41"/>
      <c r="F8" s="41"/>
      <c r="G8" s="41"/>
      <c r="H8" s="41"/>
      <c r="I8" s="41"/>
      <c r="J8" s="41">
        <v>448390</v>
      </c>
      <c r="K8" s="41">
        <v>1796290</v>
      </c>
      <c r="L8" s="41">
        <v>32065</v>
      </c>
      <c r="M8" s="41">
        <v>94820</v>
      </c>
      <c r="N8" s="41">
        <v>273596</v>
      </c>
      <c r="O8" s="41">
        <v>811877</v>
      </c>
      <c r="P8" s="41"/>
      <c r="Q8" s="41"/>
      <c r="R8" s="41">
        <v>201363</v>
      </c>
      <c r="S8" s="41">
        <v>277077</v>
      </c>
      <c r="T8" s="41"/>
      <c r="U8" s="41"/>
      <c r="V8" s="41"/>
      <c r="W8" s="41"/>
      <c r="X8" s="41">
        <v>133982</v>
      </c>
      <c r="Y8" s="41">
        <v>535634</v>
      </c>
      <c r="Z8" s="41">
        <v>-871</v>
      </c>
      <c r="AA8" s="41">
        <v>-1030</v>
      </c>
      <c r="AB8" s="18">
        <v>255802</v>
      </c>
      <c r="AC8" s="18">
        <v>973629</v>
      </c>
      <c r="AD8" s="18">
        <v>373209</v>
      </c>
      <c r="AE8" s="18">
        <v>1440912</v>
      </c>
      <c r="AF8" s="41">
        <v>120087</v>
      </c>
      <c r="AG8" s="41">
        <v>481413</v>
      </c>
      <c r="AH8" s="18">
        <v>7126</v>
      </c>
      <c r="AI8" s="18">
        <v>23564</v>
      </c>
      <c r="AJ8" s="41">
        <v>4043</v>
      </c>
      <c r="AK8" s="41">
        <v>29889</v>
      </c>
      <c r="AL8" s="7">
        <v>14007</v>
      </c>
      <c r="AM8" s="41">
        <v>50439</v>
      </c>
      <c r="AN8" s="41"/>
      <c r="AO8" s="41"/>
      <c r="AP8" s="41">
        <v>1229037.4732277684</v>
      </c>
      <c r="AQ8" s="41">
        <v>6748836.8725146428</v>
      </c>
      <c r="AR8" s="41">
        <v>5562402</v>
      </c>
      <c r="AS8" s="41">
        <v>19623390</v>
      </c>
      <c r="AT8" s="41">
        <v>1421681</v>
      </c>
      <c r="AU8" s="41">
        <v>5903810</v>
      </c>
      <c r="AV8" s="41">
        <v>1289</v>
      </c>
      <c r="AW8" s="41">
        <v>5776</v>
      </c>
      <c r="AX8" s="41">
        <v>205796</v>
      </c>
      <c r="AY8" s="41">
        <v>768401</v>
      </c>
      <c r="AZ8" s="41"/>
      <c r="BA8" s="41"/>
      <c r="BB8" s="43">
        <v>78483</v>
      </c>
      <c r="BC8" s="43">
        <v>299240</v>
      </c>
      <c r="BD8" s="41">
        <v>343119</v>
      </c>
      <c r="BE8" s="41">
        <v>1383447</v>
      </c>
      <c r="BF8" s="41">
        <v>44176</v>
      </c>
      <c r="BG8" s="41">
        <v>179317</v>
      </c>
      <c r="BH8" s="41"/>
      <c r="BI8" s="41"/>
      <c r="BJ8" s="41">
        <v>228674</v>
      </c>
      <c r="BK8" s="41">
        <v>660666</v>
      </c>
      <c r="BL8" s="41">
        <v>3514052</v>
      </c>
      <c r="BM8" s="41">
        <v>8568763</v>
      </c>
      <c r="BN8" s="41">
        <v>174174</v>
      </c>
      <c r="BO8" s="41">
        <v>589466</v>
      </c>
      <c r="BP8" s="41">
        <f>B8+D8+F8+H8+J8+L8+N8+P8+R8+T8+V8+X8+Z8+AB8+AD8+AF8+AH8+AJ8+AM7+AN8+AP8+AS7+AU7+AV8+AX8+AZ8+BB8+BD8+BF8+BH8+BJ8+BL8+BN8</f>
        <v>33178638.473227769</v>
      </c>
      <c r="BQ8" s="41">
        <f>C8+E8+G8+I8+K8+M8+O8+Q8+S8+U8+W8+Y8+AA8+AC8+AD15+AG8+AI8+AK8+AM8+AO8+AQ8+AS8+AU8+AW8+AY8+BA8+BC8+BE8+BG8+BI8+BK8+BM8+BO8</f>
        <v>50338871.872514643</v>
      </c>
    </row>
    <row r="10" spans="1:69" s="64" customFormat="1" x14ac:dyDescent="0.25">
      <c r="A10" s="63" t="s">
        <v>128</v>
      </c>
    </row>
    <row r="11" spans="1:69" s="12" customFormat="1" x14ac:dyDescent="0.25">
      <c r="A11" s="20" t="s">
        <v>0</v>
      </c>
      <c r="B11" s="160" t="s">
        <v>1</v>
      </c>
      <c r="C11" s="160"/>
      <c r="D11" s="160" t="s">
        <v>2</v>
      </c>
      <c r="E11" s="160"/>
      <c r="F11" s="160" t="s">
        <v>3</v>
      </c>
      <c r="G11" s="160"/>
      <c r="H11" s="160" t="s">
        <v>4</v>
      </c>
      <c r="I11" s="160"/>
      <c r="J11" s="160" t="s">
        <v>5</v>
      </c>
      <c r="K11" s="160"/>
      <c r="L11" s="160" t="s">
        <v>6</v>
      </c>
      <c r="M11" s="160"/>
      <c r="N11" s="160" t="s">
        <v>7</v>
      </c>
      <c r="O11" s="160"/>
      <c r="P11" s="160" t="s">
        <v>8</v>
      </c>
      <c r="Q11" s="160"/>
      <c r="R11" s="160" t="s">
        <v>9</v>
      </c>
      <c r="S11" s="160"/>
      <c r="T11" s="160" t="s">
        <v>10</v>
      </c>
      <c r="U11" s="160"/>
      <c r="V11" s="160" t="s">
        <v>11</v>
      </c>
      <c r="W11" s="160"/>
      <c r="X11" s="160" t="s">
        <v>12</v>
      </c>
      <c r="Y11" s="160"/>
      <c r="Z11" s="160" t="s">
        <v>13</v>
      </c>
      <c r="AA11" s="160"/>
      <c r="AB11" s="160" t="s">
        <v>14</v>
      </c>
      <c r="AC11" s="160"/>
      <c r="AD11" s="160" t="s">
        <v>15</v>
      </c>
      <c r="AE11" s="160"/>
      <c r="AF11" s="160" t="s">
        <v>16</v>
      </c>
      <c r="AG11" s="160"/>
      <c r="AH11" s="160" t="s">
        <v>17</v>
      </c>
      <c r="AI11" s="160"/>
      <c r="AJ11" s="160" t="s">
        <v>18</v>
      </c>
      <c r="AK11" s="160"/>
      <c r="AL11" s="160" t="s">
        <v>19</v>
      </c>
      <c r="AM11" s="160"/>
      <c r="AN11" s="160" t="s">
        <v>20</v>
      </c>
      <c r="AO11" s="160"/>
      <c r="AP11" s="160" t="s">
        <v>21</v>
      </c>
      <c r="AQ11" s="160"/>
      <c r="AR11" s="160" t="s">
        <v>109</v>
      </c>
      <c r="AS11" s="160"/>
      <c r="AT11" s="160" t="s">
        <v>110</v>
      </c>
      <c r="AU11" s="160"/>
      <c r="AV11" s="160" t="s">
        <v>22</v>
      </c>
      <c r="AW11" s="160"/>
      <c r="AX11" s="160" t="s">
        <v>23</v>
      </c>
      <c r="AY11" s="160"/>
      <c r="AZ11" s="160" t="s">
        <v>24</v>
      </c>
      <c r="BA11" s="160"/>
      <c r="BB11" s="160" t="s">
        <v>25</v>
      </c>
      <c r="BC11" s="160"/>
      <c r="BD11" s="160" t="s">
        <v>26</v>
      </c>
      <c r="BE11" s="160"/>
      <c r="BF11" s="160" t="s">
        <v>27</v>
      </c>
      <c r="BG11" s="160"/>
      <c r="BH11" s="160" t="s">
        <v>28</v>
      </c>
      <c r="BI11" s="160"/>
      <c r="BJ11" s="160" t="s">
        <v>29</v>
      </c>
      <c r="BK11" s="160"/>
      <c r="BL11" s="160" t="s">
        <v>30</v>
      </c>
      <c r="BM11" s="160"/>
      <c r="BN11" s="160" t="s">
        <v>31</v>
      </c>
      <c r="BO11" s="160"/>
      <c r="BP11" s="160" t="s">
        <v>150</v>
      </c>
      <c r="BQ11" s="160"/>
    </row>
    <row r="12" spans="1:69" s="39" customFormat="1" ht="44.25" customHeight="1" x14ac:dyDescent="0.25">
      <c r="A12" s="40"/>
      <c r="B12" s="40" t="s">
        <v>161</v>
      </c>
      <c r="C12" s="40" t="s">
        <v>162</v>
      </c>
      <c r="D12" s="40" t="s">
        <v>161</v>
      </c>
      <c r="E12" s="40" t="s">
        <v>162</v>
      </c>
      <c r="F12" s="40" t="s">
        <v>161</v>
      </c>
      <c r="G12" s="40" t="s">
        <v>162</v>
      </c>
      <c r="H12" s="40" t="s">
        <v>161</v>
      </c>
      <c r="I12" s="40" t="s">
        <v>162</v>
      </c>
      <c r="J12" s="40" t="s">
        <v>161</v>
      </c>
      <c r="K12" s="40" t="s">
        <v>162</v>
      </c>
      <c r="L12" s="40" t="s">
        <v>161</v>
      </c>
      <c r="M12" s="40" t="s">
        <v>162</v>
      </c>
      <c r="N12" s="40" t="s">
        <v>161</v>
      </c>
      <c r="O12" s="40" t="s">
        <v>162</v>
      </c>
      <c r="P12" s="40" t="s">
        <v>161</v>
      </c>
      <c r="Q12" s="40" t="s">
        <v>162</v>
      </c>
      <c r="R12" s="40" t="s">
        <v>161</v>
      </c>
      <c r="S12" s="40" t="s">
        <v>162</v>
      </c>
      <c r="T12" s="40" t="s">
        <v>161</v>
      </c>
      <c r="U12" s="40" t="s">
        <v>162</v>
      </c>
      <c r="V12" s="40" t="s">
        <v>161</v>
      </c>
      <c r="W12" s="40" t="s">
        <v>162</v>
      </c>
      <c r="X12" s="40" t="s">
        <v>161</v>
      </c>
      <c r="Y12" s="40" t="s">
        <v>162</v>
      </c>
      <c r="Z12" s="40" t="s">
        <v>161</v>
      </c>
      <c r="AA12" s="40" t="s">
        <v>162</v>
      </c>
      <c r="AB12" s="40" t="s">
        <v>161</v>
      </c>
      <c r="AC12" s="40" t="s">
        <v>162</v>
      </c>
      <c r="AD12" s="40" t="s">
        <v>161</v>
      </c>
      <c r="AE12" s="40" t="s">
        <v>162</v>
      </c>
      <c r="AF12" s="40" t="s">
        <v>161</v>
      </c>
      <c r="AG12" s="40" t="s">
        <v>162</v>
      </c>
      <c r="AH12" s="40" t="s">
        <v>161</v>
      </c>
      <c r="AI12" s="40" t="s">
        <v>162</v>
      </c>
      <c r="AJ12" s="40" t="s">
        <v>161</v>
      </c>
      <c r="AK12" s="40" t="s">
        <v>162</v>
      </c>
      <c r="AL12" s="40" t="s">
        <v>161</v>
      </c>
      <c r="AM12" s="40" t="s">
        <v>162</v>
      </c>
      <c r="AN12" s="40" t="s">
        <v>161</v>
      </c>
      <c r="AO12" s="40" t="s">
        <v>162</v>
      </c>
      <c r="AP12" s="40" t="s">
        <v>161</v>
      </c>
      <c r="AQ12" s="40" t="s">
        <v>162</v>
      </c>
      <c r="AR12" s="40" t="s">
        <v>161</v>
      </c>
      <c r="AS12" s="40" t="s">
        <v>162</v>
      </c>
      <c r="AT12" s="40" t="s">
        <v>161</v>
      </c>
      <c r="AU12" s="40" t="s">
        <v>162</v>
      </c>
      <c r="AV12" s="40" t="s">
        <v>161</v>
      </c>
      <c r="AW12" s="40" t="s">
        <v>162</v>
      </c>
      <c r="AX12" s="40" t="s">
        <v>161</v>
      </c>
      <c r="AY12" s="40" t="s">
        <v>162</v>
      </c>
      <c r="AZ12" s="40" t="s">
        <v>161</v>
      </c>
      <c r="BA12" s="40" t="s">
        <v>162</v>
      </c>
      <c r="BB12" s="40" t="s">
        <v>161</v>
      </c>
      <c r="BC12" s="40" t="s">
        <v>162</v>
      </c>
      <c r="BD12" s="40" t="s">
        <v>161</v>
      </c>
      <c r="BE12" s="40" t="s">
        <v>162</v>
      </c>
      <c r="BF12" s="40" t="s">
        <v>161</v>
      </c>
      <c r="BG12" s="40" t="s">
        <v>162</v>
      </c>
      <c r="BH12" s="40" t="s">
        <v>161</v>
      </c>
      <c r="BI12" s="40" t="s">
        <v>162</v>
      </c>
      <c r="BJ12" s="40" t="s">
        <v>161</v>
      </c>
      <c r="BK12" s="40" t="s">
        <v>162</v>
      </c>
      <c r="BL12" s="40" t="s">
        <v>161</v>
      </c>
      <c r="BM12" s="40" t="s">
        <v>162</v>
      </c>
      <c r="BN12" s="40" t="s">
        <v>161</v>
      </c>
      <c r="BO12" s="40" t="s">
        <v>162</v>
      </c>
      <c r="BP12" s="40" t="s">
        <v>161</v>
      </c>
      <c r="BQ12" s="40" t="s">
        <v>162</v>
      </c>
    </row>
    <row r="13" spans="1:69" ht="30" x14ac:dyDescent="0.25">
      <c r="A13" s="65" t="s">
        <v>163</v>
      </c>
      <c r="B13" s="41"/>
      <c r="C13" s="41"/>
      <c r="D13" s="41"/>
      <c r="E13" s="41"/>
      <c r="F13" s="41"/>
      <c r="G13" s="41"/>
      <c r="H13" s="41"/>
      <c r="I13" s="41"/>
      <c r="J13" s="69">
        <v>408234</v>
      </c>
      <c r="K13" s="41">
        <v>1375593</v>
      </c>
      <c r="L13" s="41">
        <v>78292</v>
      </c>
      <c r="M13" s="41">
        <v>313911</v>
      </c>
      <c r="N13" s="41">
        <v>212761</v>
      </c>
      <c r="O13" s="41">
        <v>711724</v>
      </c>
      <c r="P13" s="41"/>
      <c r="Q13" s="41"/>
      <c r="R13" s="41"/>
      <c r="S13" s="41"/>
      <c r="T13" s="41"/>
      <c r="U13" s="41"/>
      <c r="V13" s="41"/>
      <c r="W13" s="41"/>
      <c r="X13" s="41">
        <v>132781</v>
      </c>
      <c r="Y13" s="41">
        <v>583066</v>
      </c>
      <c r="Z13" s="41">
        <v>17348</v>
      </c>
      <c r="AA13" s="41">
        <v>17348</v>
      </c>
      <c r="AB13" s="41">
        <f>228593+17241</f>
        <v>245834</v>
      </c>
      <c r="AC13" s="41">
        <f>1097518+348417</f>
        <v>1445935</v>
      </c>
      <c r="AD13" s="18">
        <v>714131</v>
      </c>
      <c r="AE13" s="18">
        <v>3661939</v>
      </c>
      <c r="AF13" s="41">
        <v>331951</v>
      </c>
      <c r="AG13" s="41">
        <v>1455201</v>
      </c>
      <c r="AH13" s="41"/>
      <c r="AI13" s="41"/>
      <c r="AJ13" s="41">
        <v>49109</v>
      </c>
      <c r="AK13" s="41">
        <v>202871</v>
      </c>
      <c r="AL13" s="41">
        <v>75084</v>
      </c>
      <c r="AM13" s="41">
        <v>191094</v>
      </c>
      <c r="AN13" s="41"/>
      <c r="AO13" s="41"/>
      <c r="AP13" s="41">
        <v>625830.98650392517</v>
      </c>
      <c r="AQ13" s="41">
        <f>1621489+521943</f>
        <v>2143432</v>
      </c>
      <c r="AR13" s="41">
        <v>1797575</v>
      </c>
      <c r="AS13" s="41">
        <v>6411649</v>
      </c>
      <c r="AT13" s="41">
        <v>678675</v>
      </c>
      <c r="AU13" s="41">
        <v>3146414</v>
      </c>
      <c r="AV13" s="41">
        <v>234</v>
      </c>
      <c r="AW13" s="41">
        <v>541</v>
      </c>
      <c r="AX13" s="41">
        <v>89635</v>
      </c>
      <c r="AY13" s="41">
        <v>672971</v>
      </c>
      <c r="AZ13" s="41"/>
      <c r="BA13" s="41"/>
      <c r="BB13" s="43">
        <v>69999</v>
      </c>
      <c r="BC13" s="43">
        <v>365292</v>
      </c>
      <c r="BD13" s="41">
        <v>44143</v>
      </c>
      <c r="BE13" s="41">
        <v>172041</v>
      </c>
      <c r="BF13" s="41">
        <v>4183</v>
      </c>
      <c r="BG13" s="41">
        <v>20811</v>
      </c>
      <c r="BH13" s="41"/>
      <c r="BI13" s="41"/>
      <c r="BJ13" s="41">
        <v>743214</v>
      </c>
      <c r="BK13" s="41">
        <v>2939016</v>
      </c>
      <c r="BL13" s="41">
        <v>897606</v>
      </c>
      <c r="BM13" s="41">
        <v>3581891</v>
      </c>
      <c r="BN13" s="41">
        <f>16456+9304</f>
        <v>25760</v>
      </c>
      <c r="BO13" s="41">
        <f>179583+39819</f>
        <v>219402</v>
      </c>
      <c r="BP13" s="41">
        <f>B13+D13+F13+H13+J13+L13+N13+P13+R13+T13+V13+X13+Z13+AB13+AD13+AF13+AH13+AJ13+AL13+AN13+AP13+AR13+AT13+AV13+AX13+AZ13+BB13+BD13+BF13+BH13+BJ13+BL13+BN13</f>
        <v>7242379.9865039252</v>
      </c>
      <c r="BQ13" s="41">
        <f>C13+E13+G13+I13+K13+M13+O13+Q13+S13+U13+W13+Y13+AA13+AC13+AD20+AG13+AI13+AK13+AM13+AO13+AQ13+AS13+AU13+AW13+AY13+BA13+BC13+BE13+BG13+BI13+BK13+BM13+BO13</f>
        <v>38955323</v>
      </c>
    </row>
    <row r="14" spans="1:69" x14ac:dyDescent="0.25">
      <c r="A14" s="65" t="s">
        <v>164</v>
      </c>
      <c r="B14" s="41"/>
      <c r="C14" s="41"/>
      <c r="D14" s="41"/>
      <c r="E14" s="41"/>
      <c r="F14" s="41"/>
      <c r="G14" s="41"/>
      <c r="H14" s="41"/>
      <c r="I14" s="41"/>
      <c r="J14" s="41">
        <v>253173</v>
      </c>
      <c r="K14" s="41">
        <v>938213</v>
      </c>
      <c r="L14" s="41">
        <v>34195</v>
      </c>
      <c r="M14" s="41">
        <v>156037</v>
      </c>
      <c r="N14" s="41">
        <v>30684</v>
      </c>
      <c r="O14" s="41">
        <v>165073</v>
      </c>
      <c r="P14" s="41"/>
      <c r="Q14" s="41"/>
      <c r="R14" s="41"/>
      <c r="S14" s="41"/>
      <c r="T14" s="41"/>
      <c r="U14" s="41"/>
      <c r="V14" s="41"/>
      <c r="W14" s="41"/>
      <c r="X14" s="41">
        <v>93479</v>
      </c>
      <c r="Y14" s="41">
        <v>447105</v>
      </c>
      <c r="Z14" s="41">
        <v>33</v>
      </c>
      <c r="AA14" s="41">
        <v>33</v>
      </c>
      <c r="AB14" s="41">
        <f>104512+225</f>
        <v>104737</v>
      </c>
      <c r="AC14" s="41">
        <f>508242+1608</f>
        <v>509850</v>
      </c>
      <c r="AD14" s="18">
        <v>357293</v>
      </c>
      <c r="AE14" s="18">
        <v>2037966</v>
      </c>
      <c r="AF14" s="41">
        <v>138478</v>
      </c>
      <c r="AG14" s="41">
        <v>592636</v>
      </c>
      <c r="AH14" s="41"/>
      <c r="AI14" s="41"/>
      <c r="AJ14" s="41">
        <v>32868</v>
      </c>
      <c r="AK14" s="41">
        <v>119162</v>
      </c>
      <c r="AL14" s="41">
        <v>1336</v>
      </c>
      <c r="AM14" s="41">
        <v>7831</v>
      </c>
      <c r="AN14" s="41"/>
      <c r="AO14" s="41"/>
      <c r="AP14" s="41">
        <f>393046+36301</f>
        <v>429347</v>
      </c>
      <c r="AQ14" s="41">
        <f>1410141+102092</f>
        <v>1512233</v>
      </c>
      <c r="AR14" s="41">
        <v>1102534</v>
      </c>
      <c r="AS14" s="41">
        <v>4095167</v>
      </c>
      <c r="AT14" s="41">
        <v>471235</v>
      </c>
      <c r="AU14" s="41">
        <v>2170686</v>
      </c>
      <c r="AV14" s="41">
        <v>97</v>
      </c>
      <c r="AW14" s="41">
        <v>300</v>
      </c>
      <c r="AX14" s="41">
        <v>5442</v>
      </c>
      <c r="AY14" s="41">
        <v>54879</v>
      </c>
      <c r="AZ14" s="41"/>
      <c r="BA14" s="41"/>
      <c r="BB14" s="43">
        <v>31330</v>
      </c>
      <c r="BC14" s="43">
        <v>168551</v>
      </c>
      <c r="BD14" s="41">
        <v>28924</v>
      </c>
      <c r="BE14" s="41">
        <v>118971</v>
      </c>
      <c r="BF14" s="41">
        <v>3399</v>
      </c>
      <c r="BG14" s="41">
        <v>13478</v>
      </c>
      <c r="BH14" s="41"/>
      <c r="BI14" s="41"/>
      <c r="BJ14" s="41">
        <v>622501</v>
      </c>
      <c r="BK14" s="41">
        <v>2608140</v>
      </c>
      <c r="BL14" s="41">
        <v>939459</v>
      </c>
      <c r="BM14" s="41">
        <v>2347696</v>
      </c>
      <c r="BN14" s="41">
        <f>9216+5348</f>
        <v>14564</v>
      </c>
      <c r="BO14" s="7">
        <f>60423+7350</f>
        <v>67773</v>
      </c>
      <c r="BP14" s="41">
        <f>B14+D14+F14+H14+J14+L14+N14+P14+R14+T14+V14+X14+Z14+AB14+AD14+AF14+AH14+AJ14+AL14+AN14+AP14+AS13+AU13+AV14+AX14+AZ14+BB14+BD14+BF14+BH14+BJ14+BL14+BN14</f>
        <v>12679402</v>
      </c>
      <c r="BQ14" s="41">
        <f>C14+E14+G14+I14+K14+M14+O14+Q14+S14+U14+W14+Y14+AA14+AC14+AD21+AG14+AI14+AK14+AM14+AO14+AQ14+AS14+AU14+AW14+AY14+BA14+BC14+BE14+BG14+BI14+BK14+BM14+BO14</f>
        <v>27662992</v>
      </c>
    </row>
    <row r="15" spans="1:69" x14ac:dyDescent="0.25">
      <c r="A15" s="65" t="s">
        <v>165</v>
      </c>
      <c r="B15" s="41"/>
      <c r="C15" s="41"/>
      <c r="D15" s="41"/>
      <c r="E15" s="41"/>
      <c r="F15" s="41"/>
      <c r="G15" s="41"/>
      <c r="H15" s="41"/>
      <c r="I15" s="41"/>
      <c r="J15" s="41">
        <v>239407</v>
      </c>
      <c r="K15" s="41">
        <v>883642</v>
      </c>
      <c r="L15" s="41">
        <v>37200</v>
      </c>
      <c r="M15" s="41">
        <v>139879</v>
      </c>
      <c r="N15" s="41">
        <v>45840</v>
      </c>
      <c r="O15" s="41">
        <v>158497</v>
      </c>
      <c r="P15" s="41"/>
      <c r="Q15" s="41"/>
      <c r="R15" s="41"/>
      <c r="S15" s="41"/>
      <c r="T15" s="41"/>
      <c r="U15" s="41"/>
      <c r="V15" s="41"/>
      <c r="W15" s="41"/>
      <c r="X15" s="41">
        <v>120932</v>
      </c>
      <c r="Y15" s="41">
        <v>438930</v>
      </c>
      <c r="Z15" s="41">
        <v>0</v>
      </c>
      <c r="AA15" s="41">
        <v>0</v>
      </c>
      <c r="AB15" s="18">
        <f>141775+-509</f>
        <v>141266</v>
      </c>
      <c r="AC15" s="41">
        <f>485686+447</f>
        <v>486133</v>
      </c>
      <c r="AD15" s="18">
        <v>534157</v>
      </c>
      <c r="AE15" s="18">
        <v>1957559</v>
      </c>
      <c r="AF15" s="41">
        <v>182939</v>
      </c>
      <c r="AG15" s="41">
        <v>576073</v>
      </c>
      <c r="AH15" s="41"/>
      <c r="AI15" s="41"/>
      <c r="AJ15" s="41">
        <v>30387</v>
      </c>
      <c r="AK15" s="41">
        <v>104198</v>
      </c>
      <c r="AL15" s="41">
        <v>1502</v>
      </c>
      <c r="AM15" s="41">
        <v>9577</v>
      </c>
      <c r="AN15" s="41"/>
      <c r="AO15" s="41"/>
      <c r="AP15" s="41">
        <f>371486+-122094</f>
        <v>249392</v>
      </c>
      <c r="AQ15" s="41">
        <f>1411187+182750</f>
        <v>1593937</v>
      </c>
      <c r="AR15" s="41">
        <v>1021068</v>
      </c>
      <c r="AS15" s="41">
        <v>3778699</v>
      </c>
      <c r="AT15" s="41">
        <v>507322</v>
      </c>
      <c r="AU15" s="41">
        <v>2301536</v>
      </c>
      <c r="AV15" s="41">
        <v>39</v>
      </c>
      <c r="AW15" s="41">
        <v>336</v>
      </c>
      <c r="AX15" s="41">
        <v>15464</v>
      </c>
      <c r="AY15" s="41">
        <v>54140</v>
      </c>
      <c r="AZ15" s="41"/>
      <c r="BA15" s="41"/>
      <c r="BB15" s="43">
        <v>34103</v>
      </c>
      <c r="BC15" s="43">
        <v>160699</v>
      </c>
      <c r="BD15" s="41">
        <v>38238</v>
      </c>
      <c r="BE15" s="41">
        <v>107857</v>
      </c>
      <c r="BF15" s="41">
        <v>3471</v>
      </c>
      <c r="BG15" s="41">
        <v>12640</v>
      </c>
      <c r="BH15" s="41"/>
      <c r="BI15" s="41"/>
      <c r="BJ15" s="41">
        <v>759077</v>
      </c>
      <c r="BK15" s="41">
        <v>2477096</v>
      </c>
      <c r="BL15" s="41">
        <v>657738</v>
      </c>
      <c r="BM15" s="41">
        <v>2327344</v>
      </c>
      <c r="BN15" s="41">
        <f>16676+199</f>
        <v>16875</v>
      </c>
      <c r="BO15" s="41">
        <f>56122+788</f>
        <v>56910</v>
      </c>
      <c r="BP15" s="41">
        <f>B15+D15+F15+H15+J15+L15+N15+P15+R15+T15+V15+X15+Z15+AB15+AD15+AF15+AH15+AJ15+AM14+AN15+AP15+AS14+AU14+AV15+AX15+AZ15+BB15+BD15+BF15+BH15+BJ15+BL15+BN15</f>
        <v>9380209</v>
      </c>
      <c r="BQ15" s="41">
        <f>C15+E15+G15+I15+K15+M15+O15+Q15+S15+U15+W15+Y15+AA15+AC15+AD22+AG15+AI15+AK15+AM15+AO15+AQ15+AS15+AU15+AW15+AY15+BA15+BC15+BE15+BG15+BI15+BK15+BM15+BO15</f>
        <v>26841576</v>
      </c>
    </row>
    <row r="17" spans="1:69" s="64" customFormat="1" x14ac:dyDescent="0.25">
      <c r="A17" s="63" t="s">
        <v>129</v>
      </c>
    </row>
    <row r="18" spans="1:69" s="12" customFormat="1" x14ac:dyDescent="0.25">
      <c r="A18" s="20" t="s">
        <v>0</v>
      </c>
      <c r="B18" s="160" t="s">
        <v>1</v>
      </c>
      <c r="C18" s="160"/>
      <c r="D18" s="160" t="s">
        <v>2</v>
      </c>
      <c r="E18" s="160"/>
      <c r="F18" s="160" t="s">
        <v>3</v>
      </c>
      <c r="G18" s="160"/>
      <c r="H18" s="160" t="s">
        <v>4</v>
      </c>
      <c r="I18" s="160"/>
      <c r="J18" s="160" t="s">
        <v>5</v>
      </c>
      <c r="K18" s="160"/>
      <c r="L18" s="160" t="s">
        <v>6</v>
      </c>
      <c r="M18" s="160"/>
      <c r="N18" s="160" t="s">
        <v>7</v>
      </c>
      <c r="O18" s="160"/>
      <c r="P18" s="160" t="s">
        <v>8</v>
      </c>
      <c r="Q18" s="160"/>
      <c r="R18" s="160" t="s">
        <v>9</v>
      </c>
      <c r="S18" s="160"/>
      <c r="T18" s="160" t="s">
        <v>10</v>
      </c>
      <c r="U18" s="160"/>
      <c r="V18" s="160" t="s">
        <v>11</v>
      </c>
      <c r="W18" s="160"/>
      <c r="X18" s="160" t="s">
        <v>12</v>
      </c>
      <c r="Y18" s="160"/>
      <c r="Z18" s="160" t="s">
        <v>13</v>
      </c>
      <c r="AA18" s="160"/>
      <c r="AB18" s="160" t="s">
        <v>14</v>
      </c>
      <c r="AC18" s="160"/>
      <c r="AD18" s="160" t="s">
        <v>15</v>
      </c>
      <c r="AE18" s="160"/>
      <c r="AF18" s="160" t="s">
        <v>16</v>
      </c>
      <c r="AG18" s="160"/>
      <c r="AH18" s="160" t="s">
        <v>17</v>
      </c>
      <c r="AI18" s="160"/>
      <c r="AJ18" s="160" t="s">
        <v>18</v>
      </c>
      <c r="AK18" s="160"/>
      <c r="AL18" s="160" t="s">
        <v>19</v>
      </c>
      <c r="AM18" s="160"/>
      <c r="AN18" s="160" t="s">
        <v>20</v>
      </c>
      <c r="AO18" s="160"/>
      <c r="AP18" s="160" t="s">
        <v>21</v>
      </c>
      <c r="AQ18" s="160"/>
      <c r="AR18" s="160" t="s">
        <v>109</v>
      </c>
      <c r="AS18" s="160"/>
      <c r="AT18" s="160" t="s">
        <v>110</v>
      </c>
      <c r="AU18" s="160"/>
      <c r="AV18" s="160" t="s">
        <v>22</v>
      </c>
      <c r="AW18" s="160"/>
      <c r="AX18" s="160" t="s">
        <v>23</v>
      </c>
      <c r="AY18" s="160"/>
      <c r="AZ18" s="160" t="s">
        <v>24</v>
      </c>
      <c r="BA18" s="160"/>
      <c r="BB18" s="160" t="s">
        <v>25</v>
      </c>
      <c r="BC18" s="160"/>
      <c r="BD18" s="160" t="s">
        <v>26</v>
      </c>
      <c r="BE18" s="160"/>
      <c r="BF18" s="160" t="s">
        <v>27</v>
      </c>
      <c r="BG18" s="160"/>
      <c r="BH18" s="160" t="s">
        <v>28</v>
      </c>
      <c r="BI18" s="160"/>
      <c r="BJ18" s="160" t="s">
        <v>29</v>
      </c>
      <c r="BK18" s="160"/>
      <c r="BL18" s="160" t="s">
        <v>30</v>
      </c>
      <c r="BM18" s="160"/>
      <c r="BN18" s="160" t="s">
        <v>31</v>
      </c>
      <c r="BO18" s="160"/>
      <c r="BP18" s="160" t="s">
        <v>150</v>
      </c>
      <c r="BQ18" s="160"/>
    </row>
    <row r="19" spans="1:69" s="39" customFormat="1" ht="44.25" customHeight="1" x14ac:dyDescent="0.25">
      <c r="A19" s="40"/>
      <c r="B19" s="40" t="s">
        <v>161</v>
      </c>
      <c r="C19" s="40" t="s">
        <v>162</v>
      </c>
      <c r="D19" s="40" t="s">
        <v>161</v>
      </c>
      <c r="E19" s="40" t="s">
        <v>162</v>
      </c>
      <c r="F19" s="40" t="s">
        <v>161</v>
      </c>
      <c r="G19" s="40" t="s">
        <v>162</v>
      </c>
      <c r="H19" s="40" t="s">
        <v>161</v>
      </c>
      <c r="I19" s="40" t="s">
        <v>162</v>
      </c>
      <c r="J19" s="40" t="s">
        <v>161</v>
      </c>
      <c r="K19" s="40" t="s">
        <v>162</v>
      </c>
      <c r="L19" s="40" t="s">
        <v>161</v>
      </c>
      <c r="M19" s="40" t="s">
        <v>162</v>
      </c>
      <c r="N19" s="40" t="s">
        <v>161</v>
      </c>
      <c r="O19" s="40" t="s">
        <v>162</v>
      </c>
      <c r="P19" s="40" t="s">
        <v>161</v>
      </c>
      <c r="Q19" s="40" t="s">
        <v>162</v>
      </c>
      <c r="R19" s="40" t="s">
        <v>161</v>
      </c>
      <c r="S19" s="40" t="s">
        <v>162</v>
      </c>
      <c r="T19" s="40" t="s">
        <v>161</v>
      </c>
      <c r="U19" s="40" t="s">
        <v>162</v>
      </c>
      <c r="V19" s="40" t="s">
        <v>161</v>
      </c>
      <c r="W19" s="40" t="s">
        <v>162</v>
      </c>
      <c r="X19" s="40" t="s">
        <v>161</v>
      </c>
      <c r="Y19" s="40" t="s">
        <v>162</v>
      </c>
      <c r="Z19" s="40" t="s">
        <v>161</v>
      </c>
      <c r="AA19" s="40" t="s">
        <v>162</v>
      </c>
      <c r="AB19" s="40" t="s">
        <v>161</v>
      </c>
      <c r="AC19" s="40" t="s">
        <v>162</v>
      </c>
      <c r="AD19" s="40" t="s">
        <v>161</v>
      </c>
      <c r="AE19" s="40" t="s">
        <v>162</v>
      </c>
      <c r="AF19" s="40" t="s">
        <v>161</v>
      </c>
      <c r="AG19" s="40" t="s">
        <v>162</v>
      </c>
      <c r="AH19" s="40" t="s">
        <v>161</v>
      </c>
      <c r="AI19" s="40" t="s">
        <v>162</v>
      </c>
      <c r="AJ19" s="40" t="s">
        <v>161</v>
      </c>
      <c r="AK19" s="40" t="s">
        <v>162</v>
      </c>
      <c r="AL19" s="40" t="s">
        <v>161</v>
      </c>
      <c r="AM19" s="40" t="s">
        <v>162</v>
      </c>
      <c r="AN19" s="40" t="s">
        <v>161</v>
      </c>
      <c r="AO19" s="40" t="s">
        <v>162</v>
      </c>
      <c r="AP19" s="40" t="s">
        <v>161</v>
      </c>
      <c r="AQ19" s="40" t="s">
        <v>162</v>
      </c>
      <c r="AR19" s="40" t="s">
        <v>161</v>
      </c>
      <c r="AS19" s="40" t="s">
        <v>162</v>
      </c>
      <c r="AT19" s="40" t="s">
        <v>161</v>
      </c>
      <c r="AU19" s="40" t="s">
        <v>162</v>
      </c>
      <c r="AV19" s="40" t="s">
        <v>161</v>
      </c>
      <c r="AW19" s="40" t="s">
        <v>162</v>
      </c>
      <c r="AX19" s="40" t="s">
        <v>161</v>
      </c>
      <c r="AY19" s="40" t="s">
        <v>162</v>
      </c>
      <c r="AZ19" s="40" t="s">
        <v>161</v>
      </c>
      <c r="BA19" s="40" t="s">
        <v>162</v>
      </c>
      <c r="BB19" s="40" t="s">
        <v>161</v>
      </c>
      <c r="BC19" s="40" t="s">
        <v>162</v>
      </c>
      <c r="BD19" s="40" t="s">
        <v>161</v>
      </c>
      <c r="BE19" s="40" t="s">
        <v>162</v>
      </c>
      <c r="BF19" s="40" t="s">
        <v>161</v>
      </c>
      <c r="BG19" s="40" t="s">
        <v>162</v>
      </c>
      <c r="BH19" s="40" t="s">
        <v>161</v>
      </c>
      <c r="BI19" s="40" t="s">
        <v>162</v>
      </c>
      <c r="BJ19" s="40" t="s">
        <v>161</v>
      </c>
      <c r="BK19" s="40" t="s">
        <v>162</v>
      </c>
      <c r="BL19" s="40" t="s">
        <v>161</v>
      </c>
      <c r="BM19" s="40" t="s">
        <v>162</v>
      </c>
      <c r="BN19" s="40" t="s">
        <v>161</v>
      </c>
      <c r="BO19" s="40" t="s">
        <v>162</v>
      </c>
      <c r="BP19" s="40" t="s">
        <v>161</v>
      </c>
      <c r="BQ19" s="40" t="s">
        <v>162</v>
      </c>
    </row>
    <row r="20" spans="1:69" ht="30" x14ac:dyDescent="0.25">
      <c r="A20" s="65" t="s">
        <v>163</v>
      </c>
      <c r="B20" s="41">
        <v>7650.9210000000003</v>
      </c>
      <c r="C20" s="41">
        <v>8156.6040000000003</v>
      </c>
      <c r="D20" s="41"/>
      <c r="E20" s="41"/>
      <c r="F20" s="41"/>
      <c r="G20" s="41"/>
      <c r="H20" s="41"/>
      <c r="I20" s="41"/>
      <c r="J20" s="68">
        <v>11687660</v>
      </c>
      <c r="K20" s="41">
        <v>41526672</v>
      </c>
      <c r="L20" s="41">
        <v>2738560</v>
      </c>
      <c r="M20" s="41">
        <v>10738749</v>
      </c>
      <c r="N20" s="41">
        <v>7500252</v>
      </c>
      <c r="O20" s="41">
        <v>26407335</v>
      </c>
      <c r="P20" s="41"/>
      <c r="Q20" s="41"/>
      <c r="R20" s="41"/>
      <c r="S20" s="41"/>
      <c r="T20" s="41"/>
      <c r="U20" s="41"/>
      <c r="V20" s="41"/>
      <c r="W20" s="41"/>
      <c r="X20" s="41">
        <f>1301152+1473340</f>
        <v>2774492</v>
      </c>
      <c r="Y20" s="41">
        <f>5101967+5271433</f>
        <v>10373400</v>
      </c>
      <c r="Z20" s="41">
        <v>724500</v>
      </c>
      <c r="AA20" s="41">
        <v>747058</v>
      </c>
      <c r="AB20" s="41">
        <f>4087983+2719707</f>
        <v>6807690</v>
      </c>
      <c r="AC20" s="41">
        <f>13669130+9396886</f>
        <v>23066016</v>
      </c>
      <c r="AD20" s="18">
        <v>12985120</v>
      </c>
      <c r="AE20" s="18">
        <v>52494684</v>
      </c>
      <c r="AF20" s="41"/>
      <c r="AG20" s="41"/>
      <c r="AH20" s="18">
        <v>417861</v>
      </c>
      <c r="AI20" s="18">
        <v>1393707</v>
      </c>
      <c r="AJ20" s="41">
        <f>907350+574012</f>
        <v>1481362</v>
      </c>
      <c r="AK20" s="41">
        <f>3579707+1958068</f>
        <v>5537775</v>
      </c>
      <c r="AL20" s="41">
        <v>1340719</v>
      </c>
      <c r="AM20" s="41">
        <v>4134228</v>
      </c>
      <c r="AN20" s="41"/>
      <c r="AO20" s="41"/>
      <c r="AP20" s="41">
        <v>19237924.331026647</v>
      </c>
      <c r="AQ20" s="41">
        <v>70362624.183598042</v>
      </c>
      <c r="AR20" s="41">
        <v>30614832</v>
      </c>
      <c r="AS20" s="41">
        <v>103776642</v>
      </c>
      <c r="AT20" s="41">
        <v>13044734</v>
      </c>
      <c r="AU20" s="41">
        <v>44967528</v>
      </c>
      <c r="AV20" s="41">
        <f>227263+703</f>
        <v>227966</v>
      </c>
      <c r="AW20" s="41">
        <f>516823+1473</f>
        <v>518296</v>
      </c>
      <c r="AX20" s="41">
        <v>6780936</v>
      </c>
      <c r="AY20" s="41">
        <v>24844872</v>
      </c>
      <c r="AZ20" s="41"/>
      <c r="BA20" s="41"/>
      <c r="BB20" s="43">
        <v>5448996</v>
      </c>
      <c r="BC20" s="43">
        <v>20265130</v>
      </c>
      <c r="BD20" s="41">
        <v>2786967</v>
      </c>
      <c r="BE20" s="41">
        <v>9781708</v>
      </c>
      <c r="BF20" s="41">
        <v>6202069</v>
      </c>
      <c r="BG20" s="41">
        <v>20405858</v>
      </c>
      <c r="BH20" s="41"/>
      <c r="BI20" s="41"/>
      <c r="BJ20" s="41">
        <v>8008663</v>
      </c>
      <c r="BK20" s="41">
        <v>28139937</v>
      </c>
      <c r="BL20" s="41">
        <v>20071354</v>
      </c>
      <c r="BM20" s="41">
        <f>771421+858710</f>
        <v>1630131</v>
      </c>
      <c r="BN20" s="41">
        <f>3336478+3136470</f>
        <v>6472948</v>
      </c>
      <c r="BO20" s="41"/>
      <c r="BP20" s="41">
        <f>B20+D20+F20+H20+J20+L20+N20+P20+R20+T20+V20+X20+Z20+AB20+AD20+AF20+AH20+AJ20+AL20+AN20+AP20+AR20+AT20+AV20+AX20+AZ20+BB20+BD20+BF20+BH20+BJ20+BL20+BN20</f>
        <v>167363256.25202665</v>
      </c>
      <c r="BQ20" s="41">
        <f>C20+E20+G20+I20+K20+M20+O20+Q20+S20+U20+W20+Y20+AA20+AC20+AD27+AG20+AI20+AK20+AM20+AO20+AQ20+AS20+AU20+AW20+AY20+BA20+BC20+BE20+BG20+BI20+BK20+BM20+BO20</f>
        <v>449193830.78759801</v>
      </c>
    </row>
    <row r="21" spans="1:69" x14ac:dyDescent="0.25">
      <c r="A21" s="65" t="s">
        <v>164</v>
      </c>
      <c r="B21" s="41">
        <v>2200.6</v>
      </c>
      <c r="C21" s="41">
        <v>2680.998</v>
      </c>
      <c r="D21" s="41"/>
      <c r="E21" s="41"/>
      <c r="F21" s="41"/>
      <c r="G21" s="41"/>
      <c r="H21" s="41"/>
      <c r="I21" s="41"/>
      <c r="J21" s="68">
        <v>11076436</v>
      </c>
      <c r="K21" s="41">
        <v>39326271</v>
      </c>
      <c r="L21" s="41">
        <v>2570707</v>
      </c>
      <c r="M21" s="41">
        <v>10086503</v>
      </c>
      <c r="N21" s="41">
        <v>6135574</v>
      </c>
      <c r="O21" s="41">
        <v>24049299</v>
      </c>
      <c r="P21" s="41"/>
      <c r="Q21" s="41"/>
      <c r="R21" s="41"/>
      <c r="S21" s="41"/>
      <c r="T21" s="41"/>
      <c r="U21" s="41"/>
      <c r="V21" s="41"/>
      <c r="W21" s="41"/>
      <c r="X21" s="41">
        <f>1230210+1392021</f>
        <v>2622231</v>
      </c>
      <c r="Y21" s="41">
        <f>4780010+4978992</f>
        <v>9759002</v>
      </c>
      <c r="Z21" s="41">
        <v>688287</v>
      </c>
      <c r="AA21" s="41">
        <v>709716</v>
      </c>
      <c r="AB21" s="41">
        <f>3057011+2035454</f>
        <v>5092465</v>
      </c>
      <c r="AC21" s="41">
        <f>10215006+7001984</f>
        <v>17216990</v>
      </c>
      <c r="AD21" s="18">
        <v>11569178</v>
      </c>
      <c r="AE21" s="18">
        <v>46699410</v>
      </c>
      <c r="AF21" s="41"/>
      <c r="AG21" s="41"/>
      <c r="AH21" s="18">
        <v>390692</v>
      </c>
      <c r="AI21" s="18">
        <v>1295979</v>
      </c>
      <c r="AJ21" s="41">
        <f>546642+848581</f>
        <v>1395223</v>
      </c>
      <c r="AK21" s="41">
        <f>3361219+1839956</f>
        <v>5201175</v>
      </c>
      <c r="AL21" s="41">
        <v>1163932</v>
      </c>
      <c r="AM21" s="41">
        <v>3538069</v>
      </c>
      <c r="AN21" s="41"/>
      <c r="AO21" s="41"/>
      <c r="AP21" s="41">
        <v>14446838.292521324</v>
      </c>
      <c r="AQ21" s="41">
        <v>52794195.41209273</v>
      </c>
      <c r="AR21" s="41">
        <v>29040352</v>
      </c>
      <c r="AS21" s="41">
        <v>97756961</v>
      </c>
      <c r="AT21" s="41">
        <v>12395116</v>
      </c>
      <c r="AU21" s="41">
        <v>42626189</v>
      </c>
      <c r="AV21" s="41">
        <f>211262+603</f>
        <v>211865</v>
      </c>
      <c r="AW21" s="41">
        <f>478270+1362</f>
        <v>479632</v>
      </c>
      <c r="AX21" s="41">
        <v>5359670</v>
      </c>
      <c r="AY21" s="41">
        <v>19660627</v>
      </c>
      <c r="AZ21" s="41"/>
      <c r="BA21" s="41"/>
      <c r="BB21" s="43">
        <v>4506744</v>
      </c>
      <c r="BC21" s="43">
        <v>16736973</v>
      </c>
      <c r="BD21" s="41">
        <v>2638943</v>
      </c>
      <c r="BE21" s="41">
        <v>9259786</v>
      </c>
      <c r="BF21" s="41">
        <v>5855212</v>
      </c>
      <c r="BG21" s="41">
        <v>19289628</v>
      </c>
      <c r="BH21" s="41"/>
      <c r="BI21" s="41"/>
      <c r="BJ21" s="41">
        <v>7581658</v>
      </c>
      <c r="BK21" s="41">
        <v>333627</v>
      </c>
      <c r="BL21" s="41">
        <v>16176924</v>
      </c>
      <c r="BM21" s="41">
        <f>728637+811288</f>
        <v>1539925</v>
      </c>
      <c r="BN21" s="41">
        <f>3150962+2965793</f>
        <v>6116755</v>
      </c>
      <c r="BO21" s="41"/>
      <c r="BP21" s="41">
        <f>B21+D21+F21+H21+J21+L21+N21+P21+R21+T21+V21+X21+Z21+AB21+AD21+AF21+AH21+AJ21+AL21+AN21+AP21+AS20+AU20+AV21+AX21+AZ21+BB21+BD21+BF21+BH21+BJ21+BL21+BN21</f>
        <v>254345704.89252132</v>
      </c>
      <c r="BQ21" s="41">
        <f>C21+E21+G21+I21+K21+M21+O21+Q21+S21+U21+W21+Y21+AA21+AC21+AD28+AG21+AI21+AK21+AM21+AO21+AQ21+AS21+AU21+AW21+AY21+BA21+BC21+BE21+BG21+BI21+BK21+BM21+BO21</f>
        <v>371842099.41009271</v>
      </c>
    </row>
    <row r="22" spans="1:69" x14ac:dyDescent="0.25">
      <c r="A22" s="65" t="s">
        <v>165</v>
      </c>
      <c r="B22" s="41">
        <v>-4359.8580000000002</v>
      </c>
      <c r="C22" s="41">
        <v>-4349.8109999999997</v>
      </c>
      <c r="D22" s="41"/>
      <c r="E22" s="41"/>
      <c r="F22" s="41"/>
      <c r="G22" s="41"/>
      <c r="H22" s="41"/>
      <c r="I22" s="41"/>
      <c r="J22" s="68">
        <v>9498478</v>
      </c>
      <c r="K22" s="41">
        <v>36626710</v>
      </c>
      <c r="L22" s="41">
        <v>2489419</v>
      </c>
      <c r="M22" s="41">
        <v>10100719</v>
      </c>
      <c r="N22" s="41">
        <v>5744288</v>
      </c>
      <c r="O22" s="41">
        <v>22664077</v>
      </c>
      <c r="P22" s="41"/>
      <c r="Q22" s="41"/>
      <c r="R22" s="41"/>
      <c r="S22" s="41"/>
      <c r="T22" s="41"/>
      <c r="U22" s="41"/>
      <c r="V22" s="41"/>
      <c r="W22" s="41"/>
      <c r="X22" s="41">
        <f>1139359+1177340</f>
        <v>2316699</v>
      </c>
      <c r="Y22" s="41">
        <f>4043740+4145462</f>
        <v>8189202</v>
      </c>
      <c r="Z22" s="41">
        <v>56526</v>
      </c>
      <c r="AA22" s="41">
        <v>57047</v>
      </c>
      <c r="AB22" s="41">
        <f>2419523+1678066</f>
        <v>4097589</v>
      </c>
      <c r="AC22" s="41">
        <f>8937195+6231493</f>
        <v>15168688</v>
      </c>
      <c r="AD22" s="18">
        <v>11173453</v>
      </c>
      <c r="AE22" s="18">
        <v>41421880</v>
      </c>
      <c r="AF22" s="41"/>
      <c r="AG22" s="41"/>
      <c r="AH22" s="18">
        <v>300116</v>
      </c>
      <c r="AI22" s="18">
        <v>982723</v>
      </c>
      <c r="AJ22" s="41">
        <f>777150+418412</f>
        <v>1195562</v>
      </c>
      <c r="AK22" s="41">
        <f>2944437+1473949</f>
        <v>4418386</v>
      </c>
      <c r="AL22" s="41">
        <v>817945</v>
      </c>
      <c r="AM22" s="41">
        <v>3204897</v>
      </c>
      <c r="AN22" s="41"/>
      <c r="AO22" s="41"/>
      <c r="AP22" s="41">
        <v>13494450.531521324</v>
      </c>
      <c r="AQ22" s="41">
        <v>50082297.80909273</v>
      </c>
      <c r="AR22" s="41">
        <v>24186180</v>
      </c>
      <c r="AS22" s="41">
        <v>90742596</v>
      </c>
      <c r="AT22" s="41">
        <v>11505819</v>
      </c>
      <c r="AU22" s="41">
        <v>40002629</v>
      </c>
      <c r="AV22" s="41">
        <f>100752+233</f>
        <v>100985</v>
      </c>
      <c r="AW22" s="41">
        <f>330574+659</f>
        <v>331233</v>
      </c>
      <c r="AX22" s="41">
        <v>4673279</v>
      </c>
      <c r="AY22" s="41">
        <v>17355216</v>
      </c>
      <c r="AZ22" s="41"/>
      <c r="BA22" s="41"/>
      <c r="BB22" s="43">
        <v>4044518</v>
      </c>
      <c r="BC22" s="43">
        <v>16197760</v>
      </c>
      <c r="BD22" s="41">
        <v>2178137</v>
      </c>
      <c r="BE22" s="41">
        <v>7380882</v>
      </c>
      <c r="BF22" s="41">
        <v>4635421</v>
      </c>
      <c r="BG22" s="41">
        <v>18153150</v>
      </c>
      <c r="BH22" s="41"/>
      <c r="BI22" s="41"/>
      <c r="BJ22" s="41">
        <v>6305036</v>
      </c>
      <c r="BK22" s="41">
        <v>308006</v>
      </c>
      <c r="BL22" s="41">
        <v>16822113</v>
      </c>
      <c r="BM22" s="41">
        <f>745217+689679</f>
        <v>1434896</v>
      </c>
      <c r="BN22" s="41">
        <f>2429214+2118328</f>
        <v>4547542</v>
      </c>
      <c r="BO22" s="41"/>
      <c r="BP22" s="41">
        <f>B22+D22+F22+H22+J22+L22+N22+P22+R22+T22+V22+X22+Z22+AB22+AD22+AF22+AH22+AJ22+AM21+AN22+AP22+AS21+AU21+AV22+AX22+AZ22+BB22+BD22+BF22+BH22+BJ22+BL22+BN22</f>
        <v>237590470.67352134</v>
      </c>
      <c r="BQ22" s="41">
        <f>C22+E22+G22+I22+K22+M22+O22+Q22+S22+U22+W22+Y22+AA22+AC22+AD29+AG22+AI22+AK22+AM22+AO22+AQ22+AS22+AU22+AW22+AY22+BA22+BC22+BE22+BG22+BI22+BK22+BM22+BO22</f>
        <v>343577719.99809277</v>
      </c>
    </row>
    <row r="24" spans="1:69" s="64" customFormat="1" x14ac:dyDescent="0.25">
      <c r="A24" s="63" t="s">
        <v>105</v>
      </c>
    </row>
    <row r="25" spans="1:69" s="12" customFormat="1" x14ac:dyDescent="0.25">
      <c r="A25" s="20" t="s">
        <v>0</v>
      </c>
      <c r="B25" s="160" t="s">
        <v>1</v>
      </c>
      <c r="C25" s="160"/>
      <c r="D25" s="160" t="s">
        <v>2</v>
      </c>
      <c r="E25" s="160"/>
      <c r="F25" s="160" t="s">
        <v>3</v>
      </c>
      <c r="G25" s="160"/>
      <c r="H25" s="160" t="s">
        <v>4</v>
      </c>
      <c r="I25" s="160"/>
      <c r="J25" s="160" t="s">
        <v>5</v>
      </c>
      <c r="K25" s="160"/>
      <c r="L25" s="160" t="s">
        <v>6</v>
      </c>
      <c r="M25" s="160"/>
      <c r="N25" s="160" t="s">
        <v>7</v>
      </c>
      <c r="O25" s="160"/>
      <c r="P25" s="160" t="s">
        <v>8</v>
      </c>
      <c r="Q25" s="160"/>
      <c r="R25" s="160" t="s">
        <v>9</v>
      </c>
      <c r="S25" s="160"/>
      <c r="T25" s="160" t="s">
        <v>10</v>
      </c>
      <c r="U25" s="160"/>
      <c r="V25" s="160" t="s">
        <v>11</v>
      </c>
      <c r="W25" s="160"/>
      <c r="X25" s="160" t="s">
        <v>12</v>
      </c>
      <c r="Y25" s="160"/>
      <c r="Z25" s="160" t="s">
        <v>13</v>
      </c>
      <c r="AA25" s="160"/>
      <c r="AB25" s="160" t="s">
        <v>14</v>
      </c>
      <c r="AC25" s="160"/>
      <c r="AD25" s="160" t="s">
        <v>15</v>
      </c>
      <c r="AE25" s="160"/>
      <c r="AF25" s="160" t="s">
        <v>16</v>
      </c>
      <c r="AG25" s="160"/>
      <c r="AH25" s="160" t="s">
        <v>17</v>
      </c>
      <c r="AI25" s="160"/>
      <c r="AJ25" s="160" t="s">
        <v>18</v>
      </c>
      <c r="AK25" s="160"/>
      <c r="AL25" s="160" t="s">
        <v>19</v>
      </c>
      <c r="AM25" s="160"/>
      <c r="AN25" s="160" t="s">
        <v>20</v>
      </c>
      <c r="AO25" s="160"/>
      <c r="AP25" s="160" t="s">
        <v>21</v>
      </c>
      <c r="AQ25" s="160"/>
      <c r="AR25" s="160" t="s">
        <v>109</v>
      </c>
      <c r="AS25" s="160"/>
      <c r="AT25" s="160" t="s">
        <v>110</v>
      </c>
      <c r="AU25" s="160"/>
      <c r="AV25" s="160" t="s">
        <v>22</v>
      </c>
      <c r="AW25" s="160"/>
      <c r="AX25" s="160" t="s">
        <v>23</v>
      </c>
      <c r="AY25" s="160"/>
      <c r="AZ25" s="160" t="s">
        <v>24</v>
      </c>
      <c r="BA25" s="160"/>
      <c r="BB25" s="160" t="s">
        <v>25</v>
      </c>
      <c r="BC25" s="160"/>
      <c r="BD25" s="160" t="s">
        <v>26</v>
      </c>
      <c r="BE25" s="160"/>
      <c r="BF25" s="160" t="s">
        <v>27</v>
      </c>
      <c r="BG25" s="160"/>
      <c r="BH25" s="160" t="s">
        <v>28</v>
      </c>
      <c r="BI25" s="160"/>
      <c r="BJ25" s="160" t="s">
        <v>29</v>
      </c>
      <c r="BK25" s="160"/>
      <c r="BL25" s="160" t="s">
        <v>30</v>
      </c>
      <c r="BM25" s="160"/>
      <c r="BN25" s="160" t="s">
        <v>31</v>
      </c>
      <c r="BO25" s="160"/>
      <c r="BP25" s="160" t="s">
        <v>150</v>
      </c>
      <c r="BQ25" s="160"/>
    </row>
    <row r="26" spans="1:69" s="39" customFormat="1" ht="44.25" customHeight="1" x14ac:dyDescent="0.25">
      <c r="A26" s="40"/>
      <c r="B26" s="40" t="s">
        <v>161</v>
      </c>
      <c r="C26" s="40" t="s">
        <v>162</v>
      </c>
      <c r="D26" s="40" t="s">
        <v>161</v>
      </c>
      <c r="E26" s="40" t="s">
        <v>162</v>
      </c>
      <c r="F26" s="40" t="s">
        <v>161</v>
      </c>
      <c r="G26" s="40" t="s">
        <v>162</v>
      </c>
      <c r="H26" s="40" t="s">
        <v>161</v>
      </c>
      <c r="I26" s="40" t="s">
        <v>162</v>
      </c>
      <c r="J26" s="40" t="s">
        <v>161</v>
      </c>
      <c r="K26" s="40" t="s">
        <v>162</v>
      </c>
      <c r="L26" s="40" t="s">
        <v>161</v>
      </c>
      <c r="M26" s="40" t="s">
        <v>162</v>
      </c>
      <c r="N26" s="40" t="s">
        <v>161</v>
      </c>
      <c r="O26" s="40" t="s">
        <v>162</v>
      </c>
      <c r="P26" s="40" t="s">
        <v>161</v>
      </c>
      <c r="Q26" s="40" t="s">
        <v>162</v>
      </c>
      <c r="R26" s="40" t="s">
        <v>161</v>
      </c>
      <c r="S26" s="40" t="s">
        <v>162</v>
      </c>
      <c r="T26" s="40" t="s">
        <v>161</v>
      </c>
      <c r="U26" s="40" t="s">
        <v>162</v>
      </c>
      <c r="V26" s="40" t="s">
        <v>161</v>
      </c>
      <c r="W26" s="40" t="s">
        <v>162</v>
      </c>
      <c r="X26" s="40" t="s">
        <v>161</v>
      </c>
      <c r="Y26" s="40" t="s">
        <v>162</v>
      </c>
      <c r="Z26" s="40" t="s">
        <v>161</v>
      </c>
      <c r="AA26" s="40" t="s">
        <v>162</v>
      </c>
      <c r="AB26" s="40" t="s">
        <v>161</v>
      </c>
      <c r="AC26" s="40" t="s">
        <v>162</v>
      </c>
      <c r="AD26" s="40" t="s">
        <v>161</v>
      </c>
      <c r="AE26" s="40" t="s">
        <v>162</v>
      </c>
      <c r="AF26" s="40" t="s">
        <v>161</v>
      </c>
      <c r="AG26" s="40" t="s">
        <v>162</v>
      </c>
      <c r="AH26" s="40" t="s">
        <v>161</v>
      </c>
      <c r="AI26" s="40" t="s">
        <v>162</v>
      </c>
      <c r="AJ26" s="40" t="s">
        <v>161</v>
      </c>
      <c r="AK26" s="40" t="s">
        <v>162</v>
      </c>
      <c r="AL26" s="40" t="s">
        <v>161</v>
      </c>
      <c r="AM26" s="40" t="s">
        <v>162</v>
      </c>
      <c r="AN26" s="40" t="s">
        <v>161</v>
      </c>
      <c r="AO26" s="40" t="s">
        <v>162</v>
      </c>
      <c r="AP26" s="40" t="s">
        <v>161</v>
      </c>
      <c r="AQ26" s="40" t="s">
        <v>162</v>
      </c>
      <c r="AR26" s="40" t="s">
        <v>161</v>
      </c>
      <c r="AS26" s="40" t="s">
        <v>162</v>
      </c>
      <c r="AT26" s="40" t="s">
        <v>161</v>
      </c>
      <c r="AU26" s="40" t="s">
        <v>162</v>
      </c>
      <c r="AV26" s="40" t="s">
        <v>161</v>
      </c>
      <c r="AW26" s="40" t="s">
        <v>162</v>
      </c>
      <c r="AX26" s="40" t="s">
        <v>161</v>
      </c>
      <c r="AY26" s="40" t="s">
        <v>162</v>
      </c>
      <c r="AZ26" s="40" t="s">
        <v>161</v>
      </c>
      <c r="BA26" s="40" t="s">
        <v>162</v>
      </c>
      <c r="BB26" s="40" t="s">
        <v>161</v>
      </c>
      <c r="BC26" s="40" t="s">
        <v>162</v>
      </c>
      <c r="BD26" s="40" t="s">
        <v>161</v>
      </c>
      <c r="BE26" s="40" t="s">
        <v>162</v>
      </c>
      <c r="BF26" s="40" t="s">
        <v>161</v>
      </c>
      <c r="BG26" s="40" t="s">
        <v>162</v>
      </c>
      <c r="BH26" s="40" t="s">
        <v>161</v>
      </c>
      <c r="BI26" s="40" t="s">
        <v>162</v>
      </c>
      <c r="BJ26" s="40" t="s">
        <v>161</v>
      </c>
      <c r="BK26" s="40" t="s">
        <v>162</v>
      </c>
      <c r="BL26" s="40" t="s">
        <v>161</v>
      </c>
      <c r="BM26" s="40" t="s">
        <v>162</v>
      </c>
      <c r="BN26" s="40" t="s">
        <v>161</v>
      </c>
      <c r="BO26" s="40" t="s">
        <v>162</v>
      </c>
      <c r="BP26" s="40" t="s">
        <v>161</v>
      </c>
      <c r="BQ26" s="40" t="s">
        <v>162</v>
      </c>
    </row>
    <row r="27" spans="1:69" ht="30" x14ac:dyDescent="0.25">
      <c r="A27" s="65" t="s">
        <v>163</v>
      </c>
      <c r="B27" s="41"/>
      <c r="C27" s="41"/>
      <c r="D27" s="41"/>
      <c r="E27" s="41"/>
      <c r="F27" s="41"/>
      <c r="G27" s="41"/>
      <c r="H27" s="41"/>
      <c r="I27" s="41"/>
      <c r="J27" s="66">
        <v>292663</v>
      </c>
      <c r="K27" s="41">
        <v>1168164</v>
      </c>
      <c r="L27" s="41">
        <v>60067</v>
      </c>
      <c r="M27" s="41">
        <v>174564</v>
      </c>
      <c r="N27" s="41">
        <v>51844</v>
      </c>
      <c r="O27" s="41">
        <v>275686</v>
      </c>
      <c r="P27" s="41"/>
      <c r="Q27" s="41"/>
      <c r="R27" s="41"/>
      <c r="S27" s="41"/>
      <c r="T27" s="41"/>
      <c r="U27" s="41"/>
      <c r="V27" s="41"/>
      <c r="W27" s="41"/>
      <c r="X27" s="41">
        <v>118609</v>
      </c>
      <c r="Y27" s="41">
        <v>420696</v>
      </c>
      <c r="Z27" s="41">
        <v>13</v>
      </c>
      <c r="AA27" s="41">
        <v>13</v>
      </c>
      <c r="AB27" s="18">
        <v>438198</v>
      </c>
      <c r="AC27" s="18">
        <v>1242402</v>
      </c>
      <c r="AD27" s="18">
        <v>568008</v>
      </c>
      <c r="AE27" s="18">
        <v>2480854</v>
      </c>
      <c r="AF27" s="41"/>
      <c r="AG27" s="41"/>
      <c r="AH27" s="18">
        <v>904</v>
      </c>
      <c r="AI27" s="18">
        <v>4668</v>
      </c>
      <c r="AJ27" s="41">
        <v>67328</v>
      </c>
      <c r="AK27" s="41">
        <v>207014</v>
      </c>
      <c r="AL27" s="41">
        <v>17721</v>
      </c>
      <c r="AM27" s="41">
        <v>54790</v>
      </c>
      <c r="AN27" s="41"/>
      <c r="AO27" s="41"/>
      <c r="AP27" s="41">
        <v>737421.03683447186</v>
      </c>
      <c r="AQ27" s="41">
        <v>2447926.2803448718</v>
      </c>
      <c r="AR27" s="41">
        <v>1259143</v>
      </c>
      <c r="AS27" s="41">
        <v>4860612</v>
      </c>
      <c r="AT27" s="41">
        <v>611114</v>
      </c>
      <c r="AU27" s="41">
        <v>2321128</v>
      </c>
      <c r="AV27" s="41">
        <v>976</v>
      </c>
      <c r="AW27" s="41">
        <v>3809</v>
      </c>
      <c r="AX27" s="41">
        <v>158767</v>
      </c>
      <c r="AY27" s="41">
        <v>691953</v>
      </c>
      <c r="AZ27" s="41"/>
      <c r="BA27" s="41"/>
      <c r="BB27" s="43">
        <v>117598</v>
      </c>
      <c r="BC27" s="43">
        <v>489319</v>
      </c>
      <c r="BD27" s="41">
        <v>61739</v>
      </c>
      <c r="BE27" s="41">
        <v>248959</v>
      </c>
      <c r="BF27" s="41">
        <v>35844</v>
      </c>
      <c r="BG27" s="41">
        <v>138077</v>
      </c>
      <c r="BH27" s="41"/>
      <c r="BI27" s="41"/>
      <c r="BJ27" s="41">
        <v>142794</v>
      </c>
      <c r="BK27" s="41">
        <v>869962</v>
      </c>
      <c r="BL27" s="41">
        <v>1197752</v>
      </c>
      <c r="BM27" s="41">
        <v>3736726</v>
      </c>
      <c r="BN27" s="41">
        <v>45913</v>
      </c>
      <c r="BO27" s="41">
        <v>134997</v>
      </c>
      <c r="BP27" s="41">
        <f>B27+D27+F27+H27+J27+L27+N27+P27+R27+T27+V27+X27+Z27+AB27+AD27+AF27+AH27+AJ27+AL27+AN27+AP27+AR27+AT27+AV27+AX27+AZ27+BB27+BD27+BF27+BH27+BJ27+BL27+BN27</f>
        <v>5984416.0368344719</v>
      </c>
      <c r="BQ27" s="41">
        <f>C27+E27+G27+I27+K27+M27+O27+Q27+S27+U27+W27+Y27+AA27+AC27+AD34+AG27+AI27+AK27+AM27+AO27+AQ27+AS27+AU27+AW27+AY27+BA27+BC27+BE27+BG27+BI27+BK27+BM27+BO27</f>
        <v>24678146.280344874</v>
      </c>
    </row>
    <row r="28" spans="1:69" x14ac:dyDescent="0.25">
      <c r="A28" s="65" t="s">
        <v>164</v>
      </c>
      <c r="B28" s="41"/>
      <c r="C28" s="41"/>
      <c r="D28" s="41"/>
      <c r="E28" s="41"/>
      <c r="F28" s="41"/>
      <c r="G28" s="41"/>
      <c r="H28" s="41"/>
      <c r="I28" s="41"/>
      <c r="J28" s="70">
        <v>70817</v>
      </c>
      <c r="K28" s="41">
        <v>233474</v>
      </c>
      <c r="L28" s="41">
        <v>14931</v>
      </c>
      <c r="M28" s="41">
        <v>44955</v>
      </c>
      <c r="N28" s="41">
        <v>-28251</v>
      </c>
      <c r="O28" s="41">
        <v>62742</v>
      </c>
      <c r="P28" s="41"/>
      <c r="Q28" s="41"/>
      <c r="R28" s="41"/>
      <c r="S28" s="41"/>
      <c r="T28" s="41"/>
      <c r="U28" s="41"/>
      <c r="V28" s="41"/>
      <c r="W28" s="41"/>
      <c r="X28" s="41">
        <v>46666</v>
      </c>
      <c r="Y28" s="41">
        <v>118554</v>
      </c>
      <c r="Z28" s="41">
        <v>9</v>
      </c>
      <c r="AA28" s="41">
        <v>9</v>
      </c>
      <c r="AB28" s="18">
        <v>61190</v>
      </c>
      <c r="AC28" s="18">
        <v>272500</v>
      </c>
      <c r="AD28" s="18">
        <v>178871</v>
      </c>
      <c r="AE28" s="18">
        <v>849930</v>
      </c>
      <c r="AF28" s="41"/>
      <c r="AG28" s="41"/>
      <c r="AH28" s="18">
        <v>770</v>
      </c>
      <c r="AI28" s="18">
        <v>4126</v>
      </c>
      <c r="AJ28" s="41">
        <v>19596</v>
      </c>
      <c r="AK28" s="41">
        <v>52965</v>
      </c>
      <c r="AL28" s="41">
        <v>4412</v>
      </c>
      <c r="AM28" s="41">
        <v>16551</v>
      </c>
      <c r="AN28" s="41"/>
      <c r="AO28" s="41"/>
      <c r="AP28" s="41">
        <v>728436.29686303274</v>
      </c>
      <c r="AQ28" s="41">
        <v>2189721.4653188325</v>
      </c>
      <c r="AR28" s="41">
        <v>836885</v>
      </c>
      <c r="AS28" s="41">
        <v>3370429</v>
      </c>
      <c r="AT28" s="41">
        <v>528504</v>
      </c>
      <c r="AU28" s="41">
        <v>2027945</v>
      </c>
      <c r="AV28" s="41">
        <v>508</v>
      </c>
      <c r="AW28" s="41">
        <v>1494</v>
      </c>
      <c r="AX28" s="41">
        <v>72609</v>
      </c>
      <c r="AY28" s="41">
        <v>231292</v>
      </c>
      <c r="AZ28" s="41"/>
      <c r="BA28" s="41"/>
      <c r="BB28" s="43">
        <v>19170</v>
      </c>
      <c r="BC28" s="43">
        <v>73713</v>
      </c>
      <c r="BD28" s="41">
        <v>26543</v>
      </c>
      <c r="BE28" s="41">
        <v>98468</v>
      </c>
      <c r="BF28" s="41">
        <v>24865</v>
      </c>
      <c r="BG28" s="41">
        <v>74597</v>
      </c>
      <c r="BH28" s="41"/>
      <c r="BI28" s="41"/>
      <c r="BJ28" s="41">
        <v>16637</v>
      </c>
      <c r="BK28" s="41">
        <v>59904</v>
      </c>
      <c r="BL28" s="41">
        <v>1355274</v>
      </c>
      <c r="BM28" s="41">
        <v>2486378</v>
      </c>
      <c r="BN28" s="41">
        <v>21599</v>
      </c>
      <c r="BO28" s="41">
        <v>52015</v>
      </c>
      <c r="BP28" s="41">
        <f>B28+D28+F28+H28+J28+L28+N28+P28+R28+T28+V28+X28+Z28+AB28+AD28+AF28+AH28+AJ28+AL28+AN28+AP28+AS27+AU27+AV28+AX28+AZ28+BB28+BD28+BF28+BH28+BJ28+BL28+BN28</f>
        <v>9816392.2968630325</v>
      </c>
      <c r="BQ28" s="41">
        <f>C28+E28+G28+I28+K28+M28+O28+Q28+S28+U28+W28+Y28+AA28+AC28+AD35+AG28+AI28+AK28+AM28+AO28+AQ28+AS28+AU28+AW28+AY28+BA28+BC28+BE28+BG28+BI28+BK28+BM28+BO28</f>
        <v>15151598.465318833</v>
      </c>
    </row>
    <row r="29" spans="1:69" x14ac:dyDescent="0.25">
      <c r="A29" s="65" t="s">
        <v>165</v>
      </c>
      <c r="B29" s="41"/>
      <c r="C29" s="41"/>
      <c r="D29" s="41"/>
      <c r="E29" s="41"/>
      <c r="F29" s="41"/>
      <c r="G29" s="41"/>
      <c r="H29" s="41"/>
      <c r="I29" s="41"/>
      <c r="J29" s="41">
        <v>56737</v>
      </c>
      <c r="K29" s="41">
        <v>202155</v>
      </c>
      <c r="L29" s="41">
        <v>10033</v>
      </c>
      <c r="M29" s="41">
        <v>37776</v>
      </c>
      <c r="N29" s="41">
        <v>-19592</v>
      </c>
      <c r="O29" s="41">
        <v>61818</v>
      </c>
      <c r="P29" s="41"/>
      <c r="Q29" s="41"/>
      <c r="R29" s="41"/>
      <c r="S29" s="41"/>
      <c r="T29" s="41"/>
      <c r="U29" s="41"/>
      <c r="V29" s="41"/>
      <c r="W29" s="41"/>
      <c r="X29" s="41">
        <v>35344</v>
      </c>
      <c r="Y29" s="41">
        <v>114568</v>
      </c>
      <c r="Z29" s="41">
        <v>0</v>
      </c>
      <c r="AA29" s="41">
        <v>0</v>
      </c>
      <c r="AB29" s="18">
        <v>61063</v>
      </c>
      <c r="AC29" s="18">
        <v>257132</v>
      </c>
      <c r="AD29" s="18">
        <v>180955</v>
      </c>
      <c r="AE29" s="18">
        <v>743448</v>
      </c>
      <c r="AF29" s="41"/>
      <c r="AG29" s="41"/>
      <c r="AH29" s="18">
        <v>1033</v>
      </c>
      <c r="AI29" s="18">
        <v>4022</v>
      </c>
      <c r="AJ29" s="41">
        <v>10980</v>
      </c>
      <c r="AK29" s="41">
        <v>39124</v>
      </c>
      <c r="AL29" s="41">
        <v>3812</v>
      </c>
      <c r="AM29" s="41">
        <v>18548</v>
      </c>
      <c r="AN29" s="41"/>
      <c r="AO29" s="41"/>
      <c r="AP29" s="41">
        <v>615729.8768630327</v>
      </c>
      <c r="AQ29" s="41">
        <v>2078453.9473188326</v>
      </c>
      <c r="AR29" s="41">
        <v>816974</v>
      </c>
      <c r="AS29" s="41">
        <v>2771020</v>
      </c>
      <c r="AT29" s="41">
        <v>522636</v>
      </c>
      <c r="AU29" s="41">
        <v>2045030</v>
      </c>
      <c r="AV29" s="41">
        <v>391</v>
      </c>
      <c r="AW29" s="41">
        <v>1878</v>
      </c>
      <c r="AX29" s="41">
        <v>55635</v>
      </c>
      <c r="AY29" s="41">
        <v>202518</v>
      </c>
      <c r="AZ29" s="41"/>
      <c r="BA29" s="41"/>
      <c r="BB29" s="43">
        <v>17202</v>
      </c>
      <c r="BC29" s="43">
        <v>69311</v>
      </c>
      <c r="BD29" s="41">
        <v>19285</v>
      </c>
      <c r="BE29" s="41">
        <v>68737</v>
      </c>
      <c r="BF29" s="41">
        <v>18874</v>
      </c>
      <c r="BG29" s="41">
        <v>71306</v>
      </c>
      <c r="BH29" s="41"/>
      <c r="BI29" s="41"/>
      <c r="BJ29" s="41">
        <v>16064</v>
      </c>
      <c r="BK29" s="41">
        <v>57474</v>
      </c>
      <c r="BL29" s="41">
        <v>1155609</v>
      </c>
      <c r="BM29" s="41">
        <v>2537059</v>
      </c>
      <c r="BN29" s="41">
        <v>27990</v>
      </c>
      <c r="BO29" s="41">
        <v>65034</v>
      </c>
      <c r="BP29" s="41">
        <f>B29+D29+F29+H29+J29+L29+N29+P29+R29+T29+V29+X29+Z29+AB29+AD29+AF29+AH29+AJ29+AM28+AN29+AP29+AS28+AU28+AV29+AX29+AZ29+BB29+BD29+BF29+BH29+BJ29+BL29+BN29</f>
        <v>7678257.8768630326</v>
      </c>
      <c r="BQ29" s="41">
        <f>C29+E29+G29+I29+K29+M29+O29+Q29+S29+U29+W29+Y29+AA29+AC29+AD36+AG29+AI29+AK29+AM29+AO29+AQ29+AS29+AU29+AW29+AY29+BA29+BC29+BE29+BG29+BI29+BK29+BM29+BO29</f>
        <v>13613507.947318833</v>
      </c>
    </row>
    <row r="31" spans="1:69" s="64" customFormat="1" x14ac:dyDescent="0.25">
      <c r="A31" s="63" t="s">
        <v>130</v>
      </c>
    </row>
    <row r="32" spans="1:69" s="12" customFormat="1" x14ac:dyDescent="0.25">
      <c r="A32" s="20" t="s">
        <v>0</v>
      </c>
      <c r="B32" s="160" t="s">
        <v>1</v>
      </c>
      <c r="C32" s="160"/>
      <c r="D32" s="160" t="s">
        <v>2</v>
      </c>
      <c r="E32" s="160"/>
      <c r="F32" s="160" t="s">
        <v>3</v>
      </c>
      <c r="G32" s="160"/>
      <c r="H32" s="160" t="s">
        <v>4</v>
      </c>
      <c r="I32" s="160"/>
      <c r="J32" s="160" t="s">
        <v>5</v>
      </c>
      <c r="K32" s="160"/>
      <c r="L32" s="160" t="s">
        <v>6</v>
      </c>
      <c r="M32" s="160"/>
      <c r="N32" s="160" t="s">
        <v>7</v>
      </c>
      <c r="O32" s="160"/>
      <c r="P32" s="160" t="s">
        <v>8</v>
      </c>
      <c r="Q32" s="160"/>
      <c r="R32" s="160" t="s">
        <v>9</v>
      </c>
      <c r="S32" s="160"/>
      <c r="T32" s="160" t="s">
        <v>10</v>
      </c>
      <c r="U32" s="160"/>
      <c r="V32" s="160" t="s">
        <v>11</v>
      </c>
      <c r="W32" s="160"/>
      <c r="X32" s="160" t="s">
        <v>12</v>
      </c>
      <c r="Y32" s="160"/>
      <c r="Z32" s="160" t="s">
        <v>13</v>
      </c>
      <c r="AA32" s="160"/>
      <c r="AB32" s="160" t="s">
        <v>14</v>
      </c>
      <c r="AC32" s="160"/>
      <c r="AD32" s="160" t="s">
        <v>15</v>
      </c>
      <c r="AE32" s="160"/>
      <c r="AF32" s="160" t="s">
        <v>16</v>
      </c>
      <c r="AG32" s="160"/>
      <c r="AH32" s="160" t="s">
        <v>17</v>
      </c>
      <c r="AI32" s="160"/>
      <c r="AJ32" s="160" t="s">
        <v>18</v>
      </c>
      <c r="AK32" s="160"/>
      <c r="AL32" s="160" t="s">
        <v>19</v>
      </c>
      <c r="AM32" s="160"/>
      <c r="AN32" s="160" t="s">
        <v>20</v>
      </c>
      <c r="AO32" s="160"/>
      <c r="AP32" s="160" t="s">
        <v>21</v>
      </c>
      <c r="AQ32" s="160"/>
      <c r="AR32" s="160" t="s">
        <v>109</v>
      </c>
      <c r="AS32" s="160"/>
      <c r="AT32" s="160" t="s">
        <v>110</v>
      </c>
      <c r="AU32" s="160"/>
      <c r="AV32" s="160" t="s">
        <v>22</v>
      </c>
      <c r="AW32" s="160"/>
      <c r="AX32" s="160" t="s">
        <v>23</v>
      </c>
      <c r="AY32" s="160"/>
      <c r="AZ32" s="160" t="s">
        <v>24</v>
      </c>
      <c r="BA32" s="160"/>
      <c r="BB32" s="160" t="s">
        <v>25</v>
      </c>
      <c r="BC32" s="160"/>
      <c r="BD32" s="160" t="s">
        <v>26</v>
      </c>
      <c r="BE32" s="160"/>
      <c r="BF32" s="160" t="s">
        <v>27</v>
      </c>
      <c r="BG32" s="160"/>
      <c r="BH32" s="160" t="s">
        <v>28</v>
      </c>
      <c r="BI32" s="160"/>
      <c r="BJ32" s="160" t="s">
        <v>29</v>
      </c>
      <c r="BK32" s="160"/>
      <c r="BL32" s="160" t="s">
        <v>30</v>
      </c>
      <c r="BM32" s="160"/>
      <c r="BN32" s="160" t="s">
        <v>31</v>
      </c>
      <c r="BO32" s="160"/>
      <c r="BP32" s="160" t="s">
        <v>150</v>
      </c>
      <c r="BQ32" s="160"/>
    </row>
    <row r="33" spans="1:69" s="39" customFormat="1" ht="44.25" customHeight="1" x14ac:dyDescent="0.25">
      <c r="A33" s="40"/>
      <c r="B33" s="40" t="s">
        <v>161</v>
      </c>
      <c r="C33" s="40" t="s">
        <v>162</v>
      </c>
      <c r="D33" s="40" t="s">
        <v>161</v>
      </c>
      <c r="E33" s="40" t="s">
        <v>162</v>
      </c>
      <c r="F33" s="40" t="s">
        <v>161</v>
      </c>
      <c r="G33" s="40" t="s">
        <v>162</v>
      </c>
      <c r="H33" s="40" t="s">
        <v>161</v>
      </c>
      <c r="I33" s="40" t="s">
        <v>162</v>
      </c>
      <c r="J33" s="40" t="s">
        <v>161</v>
      </c>
      <c r="K33" s="40" t="s">
        <v>162</v>
      </c>
      <c r="L33" s="40" t="s">
        <v>161</v>
      </c>
      <c r="M33" s="40" t="s">
        <v>162</v>
      </c>
      <c r="N33" s="40" t="s">
        <v>161</v>
      </c>
      <c r="O33" s="40" t="s">
        <v>162</v>
      </c>
      <c r="P33" s="40" t="s">
        <v>161</v>
      </c>
      <c r="Q33" s="40" t="s">
        <v>162</v>
      </c>
      <c r="R33" s="40" t="s">
        <v>161</v>
      </c>
      <c r="S33" s="40" t="s">
        <v>162</v>
      </c>
      <c r="T33" s="40" t="s">
        <v>161</v>
      </c>
      <c r="U33" s="40" t="s">
        <v>162</v>
      </c>
      <c r="V33" s="40" t="s">
        <v>161</v>
      </c>
      <c r="W33" s="40" t="s">
        <v>162</v>
      </c>
      <c r="X33" s="40" t="s">
        <v>161</v>
      </c>
      <c r="Y33" s="40" t="s">
        <v>162</v>
      </c>
      <c r="Z33" s="40" t="s">
        <v>161</v>
      </c>
      <c r="AA33" s="40" t="s">
        <v>162</v>
      </c>
      <c r="AB33" s="40" t="s">
        <v>161</v>
      </c>
      <c r="AC33" s="40" t="s">
        <v>162</v>
      </c>
      <c r="AD33" s="40" t="s">
        <v>161</v>
      </c>
      <c r="AE33" s="40" t="s">
        <v>162</v>
      </c>
      <c r="AF33" s="40" t="s">
        <v>161</v>
      </c>
      <c r="AG33" s="40" t="s">
        <v>162</v>
      </c>
      <c r="AH33" s="40" t="s">
        <v>161</v>
      </c>
      <c r="AI33" s="40" t="s">
        <v>162</v>
      </c>
      <c r="AJ33" s="40" t="s">
        <v>161</v>
      </c>
      <c r="AK33" s="40" t="s">
        <v>162</v>
      </c>
      <c r="AL33" s="40" t="s">
        <v>161</v>
      </c>
      <c r="AM33" s="40" t="s">
        <v>162</v>
      </c>
      <c r="AN33" s="40" t="s">
        <v>161</v>
      </c>
      <c r="AO33" s="40" t="s">
        <v>162</v>
      </c>
      <c r="AP33" s="40" t="s">
        <v>161</v>
      </c>
      <c r="AQ33" s="40" t="s">
        <v>162</v>
      </c>
      <c r="AR33" s="40" t="s">
        <v>161</v>
      </c>
      <c r="AS33" s="40" t="s">
        <v>162</v>
      </c>
      <c r="AT33" s="40" t="s">
        <v>161</v>
      </c>
      <c r="AU33" s="40" t="s">
        <v>162</v>
      </c>
      <c r="AV33" s="40" t="s">
        <v>161</v>
      </c>
      <c r="AW33" s="40" t="s">
        <v>162</v>
      </c>
      <c r="AX33" s="40" t="s">
        <v>161</v>
      </c>
      <c r="AY33" s="40" t="s">
        <v>162</v>
      </c>
      <c r="AZ33" s="40" t="s">
        <v>161</v>
      </c>
      <c r="BA33" s="40" t="s">
        <v>162</v>
      </c>
      <c r="BB33" s="40" t="s">
        <v>161</v>
      </c>
      <c r="BC33" s="40" t="s">
        <v>162</v>
      </c>
      <c r="BD33" s="40" t="s">
        <v>161</v>
      </c>
      <c r="BE33" s="40" t="s">
        <v>162</v>
      </c>
      <c r="BF33" s="40" t="s">
        <v>161</v>
      </c>
      <c r="BG33" s="40" t="s">
        <v>162</v>
      </c>
      <c r="BH33" s="40" t="s">
        <v>161</v>
      </c>
      <c r="BI33" s="40" t="s">
        <v>162</v>
      </c>
      <c r="BJ33" s="40" t="s">
        <v>161</v>
      </c>
      <c r="BK33" s="40" t="s">
        <v>162</v>
      </c>
      <c r="BL33" s="40" t="s">
        <v>161</v>
      </c>
      <c r="BM33" s="40" t="s">
        <v>162</v>
      </c>
      <c r="BN33" s="40" t="s">
        <v>161</v>
      </c>
      <c r="BO33" s="40" t="s">
        <v>162</v>
      </c>
      <c r="BP33" s="40" t="s">
        <v>161</v>
      </c>
      <c r="BQ33" s="40" t="s">
        <v>162</v>
      </c>
    </row>
    <row r="34" spans="1:69" ht="30" x14ac:dyDescent="0.25">
      <c r="A34" s="65" t="s">
        <v>163</v>
      </c>
      <c r="B34" s="41">
        <v>1012.399</v>
      </c>
      <c r="C34" s="41">
        <v>1012.399</v>
      </c>
      <c r="D34" s="41">
        <v>620895</v>
      </c>
      <c r="E34" s="41">
        <v>2303068</v>
      </c>
      <c r="F34" s="41"/>
      <c r="G34" s="41"/>
      <c r="H34" s="41">
        <v>6791320</v>
      </c>
      <c r="I34" s="41">
        <v>15661784</v>
      </c>
      <c r="J34" s="71">
        <v>4628415</v>
      </c>
      <c r="K34" s="41">
        <v>14966944</v>
      </c>
      <c r="L34" s="41">
        <v>543790</v>
      </c>
      <c r="M34" s="41">
        <v>1343548</v>
      </c>
      <c r="N34" s="41">
        <v>603849</v>
      </c>
      <c r="O34" s="7">
        <v>2600152</v>
      </c>
      <c r="P34" s="41">
        <v>1077184</v>
      </c>
      <c r="Q34" s="41">
        <v>3265427</v>
      </c>
      <c r="R34" s="41">
        <v>463652</v>
      </c>
      <c r="S34" s="41">
        <v>673745</v>
      </c>
      <c r="T34" s="18">
        <v>11789</v>
      </c>
      <c r="U34" s="18">
        <v>11789</v>
      </c>
      <c r="V34" s="41"/>
      <c r="W34" s="41"/>
      <c r="X34" s="41">
        <v>742227</v>
      </c>
      <c r="Y34" s="41">
        <v>2459077</v>
      </c>
      <c r="Z34" s="41">
        <v>25229</v>
      </c>
      <c r="AA34" s="41">
        <v>29256</v>
      </c>
      <c r="AB34" s="18">
        <v>2977074</v>
      </c>
      <c r="AC34" s="18">
        <v>9925244</v>
      </c>
      <c r="AD34" s="18">
        <v>5186681</v>
      </c>
      <c r="AE34" s="18">
        <v>18488310</v>
      </c>
      <c r="AF34" s="41"/>
      <c r="AG34" s="41"/>
      <c r="AH34" s="18">
        <v>109922</v>
      </c>
      <c r="AI34" s="18">
        <v>252789</v>
      </c>
      <c r="AJ34" s="41">
        <v>386844</v>
      </c>
      <c r="AK34" s="41">
        <v>1190881</v>
      </c>
      <c r="AL34" s="41">
        <v>53307</v>
      </c>
      <c r="AM34" s="41">
        <v>167534</v>
      </c>
      <c r="AN34" s="41">
        <v>2443356</v>
      </c>
      <c r="AO34" s="41">
        <v>7432655</v>
      </c>
      <c r="AP34" s="41">
        <v>15041892.218070187</v>
      </c>
      <c r="AQ34" s="41">
        <v>53367481.524494126</v>
      </c>
      <c r="AR34" s="41">
        <v>18856516</v>
      </c>
      <c r="AS34" s="41">
        <v>71794987</v>
      </c>
      <c r="AT34" s="41">
        <v>10329061</v>
      </c>
      <c r="AU34" s="41">
        <v>36084440</v>
      </c>
      <c r="AV34" s="41">
        <v>269</v>
      </c>
      <c r="AW34" s="41">
        <v>684</v>
      </c>
      <c r="AX34" s="41">
        <v>1208089</v>
      </c>
      <c r="AY34" s="41">
        <v>7820843</v>
      </c>
      <c r="AZ34" s="41">
        <v>3138134</v>
      </c>
      <c r="BA34" s="41">
        <v>9317507</v>
      </c>
      <c r="BB34" s="72">
        <v>783044</v>
      </c>
      <c r="BC34" s="43">
        <v>2849889</v>
      </c>
      <c r="BD34" s="41">
        <v>1716583</v>
      </c>
      <c r="BE34" s="41">
        <v>4734385</v>
      </c>
      <c r="BF34" s="41">
        <v>405</v>
      </c>
      <c r="BG34" s="41">
        <v>1448</v>
      </c>
      <c r="BH34" s="41"/>
      <c r="BI34" s="41"/>
      <c r="BJ34" s="41">
        <v>1717453</v>
      </c>
      <c r="BK34" s="41">
        <v>5533567</v>
      </c>
      <c r="BL34" s="41">
        <v>15256125</v>
      </c>
      <c r="BM34" s="41">
        <v>56140293</v>
      </c>
      <c r="BN34" s="41">
        <v>287163</v>
      </c>
      <c r="BO34" s="41">
        <v>1007693</v>
      </c>
      <c r="BP34" s="41">
        <f>B34+D34+F34+H34+J34+L34+N34+P34+R34+T34+V34+X34+Z34+AB34+AD34+AF34+AH34+AJ34+AL34+AN34+AP34+AR34+AT34+AV34+AX34+AZ34+BB34+BD34+BF34+BH34+BJ34+BL34+BN34</f>
        <v>95001280.617070183</v>
      </c>
      <c r="BQ34" s="41">
        <f>C34+E34+G34+I34+K34+M34+O34+Q34+S34+U34+W34+Y34+AA34+AC34+AD41+AG34+AI34+AK34+AM34+AO34+AQ34+AS34+AU34+AW34+AY34+BA34+BC34+BE34+BG34+BI34+BK34+BM34+BO34</f>
        <v>312120596.9234941</v>
      </c>
    </row>
    <row r="35" spans="1:69" x14ac:dyDescent="0.25">
      <c r="A35" s="65" t="s">
        <v>164</v>
      </c>
      <c r="B35" s="41">
        <v>961.779</v>
      </c>
      <c r="C35" s="41">
        <v>961.779</v>
      </c>
      <c r="D35" s="41">
        <v>585210</v>
      </c>
      <c r="E35" s="41">
        <v>2180511</v>
      </c>
      <c r="F35" s="41"/>
      <c r="G35" s="41"/>
      <c r="H35" s="41">
        <v>6378724</v>
      </c>
      <c r="I35" s="41">
        <v>13165507</v>
      </c>
      <c r="J35" s="41">
        <v>4276994</v>
      </c>
      <c r="K35" s="41">
        <v>13912091</v>
      </c>
      <c r="L35" s="41">
        <v>442507</v>
      </c>
      <c r="M35" s="41">
        <v>1177076</v>
      </c>
      <c r="N35" s="41">
        <v>572986</v>
      </c>
      <c r="O35" s="41">
        <v>2431166</v>
      </c>
      <c r="P35" s="41">
        <v>814415</v>
      </c>
      <c r="Q35" s="41">
        <v>2503890</v>
      </c>
      <c r="R35" s="41">
        <v>191882</v>
      </c>
      <c r="S35" s="41">
        <v>281957</v>
      </c>
      <c r="T35" s="18">
        <v>1768</v>
      </c>
      <c r="U35" s="18">
        <v>1768</v>
      </c>
      <c r="V35" s="41"/>
      <c r="W35" s="41"/>
      <c r="X35" s="41">
        <v>563383</v>
      </c>
      <c r="Y35" s="41">
        <v>1827944</v>
      </c>
      <c r="Z35" s="41">
        <v>23937</v>
      </c>
      <c r="AA35" s="41">
        <v>27764</v>
      </c>
      <c r="AB35" s="18">
        <v>1712235</v>
      </c>
      <c r="AC35" s="18">
        <v>5646660</v>
      </c>
      <c r="AD35" s="18">
        <v>3679766</v>
      </c>
      <c r="AE35" s="18">
        <v>13054980</v>
      </c>
      <c r="AF35" s="41"/>
      <c r="AG35" s="41"/>
      <c r="AH35" s="18">
        <v>104426</v>
      </c>
      <c r="AI35" s="18">
        <v>240066</v>
      </c>
      <c r="AJ35" s="41">
        <v>343138</v>
      </c>
      <c r="AK35" s="41">
        <v>1081847</v>
      </c>
      <c r="AL35" s="41">
        <v>28548</v>
      </c>
      <c r="AM35" s="41">
        <v>68189</v>
      </c>
      <c r="AN35" s="41">
        <v>1719518</v>
      </c>
      <c r="AO35" s="41">
        <v>5034089</v>
      </c>
      <c r="AP35" s="41">
        <v>8899350.8047649637</v>
      </c>
      <c r="AQ35" s="41">
        <v>36377698.789188907</v>
      </c>
      <c r="AR35" s="41">
        <v>16055845</v>
      </c>
      <c r="AS35" s="41">
        <v>63889560</v>
      </c>
      <c r="AT35" s="41">
        <v>9784148</v>
      </c>
      <c r="AU35" s="41">
        <v>34151536</v>
      </c>
      <c r="AV35" s="41">
        <v>256</v>
      </c>
      <c r="AW35" s="41">
        <v>650</v>
      </c>
      <c r="AX35" s="41">
        <v>895444</v>
      </c>
      <c r="AY35" s="41">
        <v>6647150</v>
      </c>
      <c r="AZ35" s="41">
        <v>2336506</v>
      </c>
      <c r="BA35" s="41">
        <v>6962951</v>
      </c>
      <c r="BB35" s="72">
        <v>603076</v>
      </c>
      <c r="BC35" s="43">
        <v>2259645</v>
      </c>
      <c r="BD35" s="41">
        <v>1630754</v>
      </c>
      <c r="BE35" s="41">
        <v>4497666</v>
      </c>
      <c r="BF35" s="41">
        <v>227</v>
      </c>
      <c r="BG35" s="41">
        <v>761</v>
      </c>
      <c r="BH35" s="41"/>
      <c r="BI35" s="41"/>
      <c r="BJ35" s="41">
        <v>1126630</v>
      </c>
      <c r="BK35" s="41">
        <v>3786092</v>
      </c>
      <c r="BL35" s="41">
        <v>11735673</v>
      </c>
      <c r="BM35" s="41">
        <v>40522875</v>
      </c>
      <c r="BN35" s="41">
        <v>260866</v>
      </c>
      <c r="BO35" s="41">
        <v>919216</v>
      </c>
      <c r="BP35" s="41">
        <f>B35+D35+F35+H35+J35+L35+N35+P35+R35+T35+V35+X35+Z35+AB35+AD35+AF35+AH35+AJ35+AL35+AN35+AP35+AS34+AU34+AV35+AX35+AZ35+BB35+BD35+BF35+BH35+BJ35+BL35+BN35</f>
        <v>156808608.58376497</v>
      </c>
      <c r="BQ35" s="41">
        <f>C35+E35+G35+I35+K35+M35+O35+Q35+S35+U35+W35+Y35+AA35+AC35+AD42+AG35+AI35+AK35+AM35+AO35+AQ35+AS35+AU35+AW35+AY35+BA35+BC35+BE35+BG35+BI35+BK35+BM35+BO35</f>
        <v>250413681.56818891</v>
      </c>
    </row>
    <row r="36" spans="1:69" x14ac:dyDescent="0.25">
      <c r="A36" s="65" t="s">
        <v>165</v>
      </c>
      <c r="B36" s="41">
        <v>811.58399999999995</v>
      </c>
      <c r="C36" s="41">
        <v>811.58399999999995</v>
      </c>
      <c r="D36" s="41">
        <v>478297</v>
      </c>
      <c r="E36" s="41">
        <v>1458790</v>
      </c>
      <c r="F36" s="41"/>
      <c r="G36" s="41"/>
      <c r="H36" s="41">
        <v>4915953</v>
      </c>
      <c r="I36" s="41">
        <v>11438077</v>
      </c>
      <c r="J36" s="68">
        <v>3399245</v>
      </c>
      <c r="K36" s="41">
        <v>11751674</v>
      </c>
      <c r="L36" s="41">
        <v>331070</v>
      </c>
      <c r="M36" s="41">
        <v>867583</v>
      </c>
      <c r="N36" s="41">
        <v>561634</v>
      </c>
      <c r="O36" s="41">
        <v>2124239</v>
      </c>
      <c r="P36" s="41">
        <v>814415</v>
      </c>
      <c r="Q36" s="41">
        <v>2503890</v>
      </c>
      <c r="R36" s="41">
        <v>95941</v>
      </c>
      <c r="S36" s="41">
        <v>140978</v>
      </c>
      <c r="T36" s="18">
        <v>27</v>
      </c>
      <c r="U36" s="41">
        <v>27</v>
      </c>
      <c r="V36" s="41"/>
      <c r="W36" s="41"/>
      <c r="X36" s="41">
        <v>426942</v>
      </c>
      <c r="Y36" s="41">
        <v>1728892</v>
      </c>
      <c r="Z36" s="41">
        <v>14508</v>
      </c>
      <c r="AA36" s="41">
        <v>17561</v>
      </c>
      <c r="AB36" s="18">
        <v>1255773</v>
      </c>
      <c r="AC36" s="18">
        <v>4684548</v>
      </c>
      <c r="AD36" s="18">
        <v>2910544</v>
      </c>
      <c r="AE36" s="18">
        <v>11145792</v>
      </c>
      <c r="AF36" s="41"/>
      <c r="AG36" s="41"/>
      <c r="AH36" s="18">
        <v>43513</v>
      </c>
      <c r="AI36" s="18">
        <v>129621</v>
      </c>
      <c r="AJ36" s="41">
        <v>245529</v>
      </c>
      <c r="AK36" s="41">
        <v>865301</v>
      </c>
      <c r="AL36" s="41">
        <v>5040</v>
      </c>
      <c r="AM36" s="41">
        <v>9319</v>
      </c>
      <c r="AN36" s="41">
        <v>1898646</v>
      </c>
      <c r="AO36" s="41">
        <v>5703424</v>
      </c>
      <c r="AP36" s="41">
        <v>9973975.9677649643</v>
      </c>
      <c r="AQ36" s="41">
        <v>37495366.15118891</v>
      </c>
      <c r="AR36" s="41">
        <v>16552660</v>
      </c>
      <c r="AS36" s="41">
        <v>60531087</v>
      </c>
      <c r="AT36" s="41">
        <v>9344608</v>
      </c>
      <c r="AU36" s="41">
        <v>32862394</v>
      </c>
      <c r="AV36" s="41">
        <v>142</v>
      </c>
      <c r="AW36" s="41">
        <v>403</v>
      </c>
      <c r="AX36" s="41">
        <v>1610114</v>
      </c>
      <c r="AY36" s="41">
        <v>6410643</v>
      </c>
      <c r="AZ36" s="41">
        <v>1982306</v>
      </c>
      <c r="BA36" s="41">
        <v>5801679</v>
      </c>
      <c r="BB36" s="72">
        <v>537930</v>
      </c>
      <c r="BC36" s="43">
        <v>2051555</v>
      </c>
      <c r="BD36" s="41">
        <v>1074005</v>
      </c>
      <c r="BE36" s="41">
        <v>3987089</v>
      </c>
      <c r="BF36" s="41">
        <v>146</v>
      </c>
      <c r="BG36" s="41">
        <v>657</v>
      </c>
      <c r="BH36" s="41"/>
      <c r="BI36" s="41"/>
      <c r="BJ36" s="41">
        <v>800925</v>
      </c>
      <c r="BK36" s="41">
        <v>3072148</v>
      </c>
      <c r="BL36" s="41">
        <v>12750502</v>
      </c>
      <c r="BM36" s="41">
        <v>44266288</v>
      </c>
      <c r="BN36" s="41">
        <v>252561</v>
      </c>
      <c r="BO36" s="41">
        <v>860761</v>
      </c>
      <c r="BP36" s="41">
        <f>B36+D36+F36+H36+J36+L36+N36+P36+R36+T36+V36+X36+Z36+AB36+AD36+AF36+AH36+AJ36+AM35+AN36+AP36+AS35+AU35+AV36+AX36+AZ36+BB36+BD36+BF36+BH36+BJ36+BL36+BN36</f>
        <v>144484740.55176497</v>
      </c>
      <c r="BQ36" s="41">
        <f>C36+E36+G36+I36+K36+M36+O36+Q36+S36+U36+W36+Y36+AA36+AC36+AD43+AG36+AI36+AK36+AM36+AO36+AQ36+AS36+AU36+AW36+AY36+BA36+BC36+BE36+BG36+BI36+BK36+BM36+BO36</f>
        <v>241380699.7351889</v>
      </c>
    </row>
    <row r="38" spans="1:69" s="64" customFormat="1" x14ac:dyDescent="0.25">
      <c r="A38" s="63" t="s">
        <v>106</v>
      </c>
    </row>
    <row r="39" spans="1:69" s="12" customFormat="1" x14ac:dyDescent="0.25">
      <c r="A39" s="20" t="s">
        <v>0</v>
      </c>
      <c r="B39" s="160" t="s">
        <v>1</v>
      </c>
      <c r="C39" s="160"/>
      <c r="D39" s="160" t="s">
        <v>2</v>
      </c>
      <c r="E39" s="160"/>
      <c r="F39" s="160" t="s">
        <v>3</v>
      </c>
      <c r="G39" s="160"/>
      <c r="H39" s="160" t="s">
        <v>4</v>
      </c>
      <c r="I39" s="160"/>
      <c r="J39" s="160" t="s">
        <v>5</v>
      </c>
      <c r="K39" s="160"/>
      <c r="L39" s="160" t="s">
        <v>6</v>
      </c>
      <c r="M39" s="160"/>
      <c r="N39" s="160" t="s">
        <v>7</v>
      </c>
      <c r="O39" s="160"/>
      <c r="P39" s="160" t="s">
        <v>8</v>
      </c>
      <c r="Q39" s="160"/>
      <c r="R39" s="160" t="s">
        <v>9</v>
      </c>
      <c r="S39" s="160"/>
      <c r="T39" s="160" t="s">
        <v>10</v>
      </c>
      <c r="U39" s="160"/>
      <c r="V39" s="160" t="s">
        <v>11</v>
      </c>
      <c r="W39" s="160"/>
      <c r="X39" s="160" t="s">
        <v>12</v>
      </c>
      <c r="Y39" s="160"/>
      <c r="Z39" s="160" t="s">
        <v>13</v>
      </c>
      <c r="AA39" s="160"/>
      <c r="AB39" s="160" t="s">
        <v>14</v>
      </c>
      <c r="AC39" s="160"/>
      <c r="AD39" s="160" t="s">
        <v>15</v>
      </c>
      <c r="AE39" s="160"/>
      <c r="AF39" s="160" t="s">
        <v>16</v>
      </c>
      <c r="AG39" s="160"/>
      <c r="AH39" s="160" t="s">
        <v>17</v>
      </c>
      <c r="AI39" s="160"/>
      <c r="AJ39" s="160" t="s">
        <v>18</v>
      </c>
      <c r="AK39" s="160"/>
      <c r="AL39" s="160" t="s">
        <v>19</v>
      </c>
      <c r="AM39" s="160"/>
      <c r="AN39" s="160" t="s">
        <v>20</v>
      </c>
      <c r="AO39" s="160"/>
      <c r="AP39" s="160" t="s">
        <v>21</v>
      </c>
      <c r="AQ39" s="160"/>
      <c r="AR39" s="160" t="s">
        <v>109</v>
      </c>
      <c r="AS39" s="160"/>
      <c r="AT39" s="160" t="s">
        <v>110</v>
      </c>
      <c r="AU39" s="160"/>
      <c r="AV39" s="160" t="s">
        <v>22</v>
      </c>
      <c r="AW39" s="160"/>
      <c r="AX39" s="160" t="s">
        <v>23</v>
      </c>
      <c r="AY39" s="160"/>
      <c r="AZ39" s="160" t="s">
        <v>24</v>
      </c>
      <c r="BA39" s="160"/>
      <c r="BB39" s="160" t="s">
        <v>25</v>
      </c>
      <c r="BC39" s="160"/>
      <c r="BD39" s="160" t="s">
        <v>26</v>
      </c>
      <c r="BE39" s="160"/>
      <c r="BF39" s="160" t="s">
        <v>27</v>
      </c>
      <c r="BG39" s="160"/>
      <c r="BH39" s="160" t="s">
        <v>28</v>
      </c>
      <c r="BI39" s="160"/>
      <c r="BJ39" s="160" t="s">
        <v>29</v>
      </c>
      <c r="BK39" s="160"/>
      <c r="BL39" s="160" t="s">
        <v>30</v>
      </c>
      <c r="BM39" s="160"/>
      <c r="BN39" s="160" t="s">
        <v>31</v>
      </c>
      <c r="BO39" s="160"/>
      <c r="BP39" s="160" t="s">
        <v>150</v>
      </c>
      <c r="BQ39" s="160"/>
    </row>
    <row r="40" spans="1:69" s="39" customFormat="1" ht="44.25" customHeight="1" x14ac:dyDescent="0.25">
      <c r="A40" s="40"/>
      <c r="B40" s="40" t="s">
        <v>161</v>
      </c>
      <c r="C40" s="40" t="s">
        <v>162</v>
      </c>
      <c r="D40" s="40" t="s">
        <v>161</v>
      </c>
      <c r="E40" s="40" t="s">
        <v>162</v>
      </c>
      <c r="F40" s="40" t="s">
        <v>161</v>
      </c>
      <c r="G40" s="40" t="s">
        <v>162</v>
      </c>
      <c r="H40" s="40" t="s">
        <v>161</v>
      </c>
      <c r="I40" s="40" t="s">
        <v>162</v>
      </c>
      <c r="J40" s="40" t="s">
        <v>161</v>
      </c>
      <c r="K40" s="40" t="s">
        <v>162</v>
      </c>
      <c r="L40" s="40" t="s">
        <v>161</v>
      </c>
      <c r="M40" s="40" t="s">
        <v>162</v>
      </c>
      <c r="N40" s="40" t="s">
        <v>161</v>
      </c>
      <c r="O40" s="40" t="s">
        <v>162</v>
      </c>
      <c r="P40" s="40" t="s">
        <v>161</v>
      </c>
      <c r="Q40" s="40" t="s">
        <v>162</v>
      </c>
      <c r="R40" s="40" t="s">
        <v>161</v>
      </c>
      <c r="S40" s="40" t="s">
        <v>162</v>
      </c>
      <c r="T40" s="40" t="s">
        <v>161</v>
      </c>
      <c r="U40" s="40" t="s">
        <v>162</v>
      </c>
      <c r="V40" s="40" t="s">
        <v>161</v>
      </c>
      <c r="W40" s="40" t="s">
        <v>162</v>
      </c>
      <c r="X40" s="40" t="s">
        <v>161</v>
      </c>
      <c r="Y40" s="40" t="s">
        <v>162</v>
      </c>
      <c r="Z40" s="40" t="s">
        <v>161</v>
      </c>
      <c r="AA40" s="40" t="s">
        <v>162</v>
      </c>
      <c r="AB40" s="40" t="s">
        <v>161</v>
      </c>
      <c r="AC40" s="40" t="s">
        <v>162</v>
      </c>
      <c r="AD40" s="40" t="s">
        <v>161</v>
      </c>
      <c r="AE40" s="40" t="s">
        <v>162</v>
      </c>
      <c r="AF40" s="40" t="s">
        <v>161</v>
      </c>
      <c r="AG40" s="40" t="s">
        <v>162</v>
      </c>
      <c r="AH40" s="40" t="s">
        <v>161</v>
      </c>
      <c r="AI40" s="40" t="s">
        <v>162</v>
      </c>
      <c r="AJ40" s="40" t="s">
        <v>161</v>
      </c>
      <c r="AK40" s="40" t="s">
        <v>162</v>
      </c>
      <c r="AL40" s="40" t="s">
        <v>161</v>
      </c>
      <c r="AM40" s="40" t="s">
        <v>162</v>
      </c>
      <c r="AN40" s="40" t="s">
        <v>161</v>
      </c>
      <c r="AO40" s="40" t="s">
        <v>162</v>
      </c>
      <c r="AP40" s="40" t="s">
        <v>161</v>
      </c>
      <c r="AQ40" s="40" t="s">
        <v>162</v>
      </c>
      <c r="AR40" s="40" t="s">
        <v>161</v>
      </c>
      <c r="AS40" s="40" t="s">
        <v>162</v>
      </c>
      <c r="AT40" s="40" t="s">
        <v>161</v>
      </c>
      <c r="AU40" s="40" t="s">
        <v>162</v>
      </c>
      <c r="AV40" s="40" t="s">
        <v>161</v>
      </c>
      <c r="AW40" s="40" t="s">
        <v>162</v>
      </c>
      <c r="AX40" s="40" t="s">
        <v>161</v>
      </c>
      <c r="AY40" s="40" t="s">
        <v>162</v>
      </c>
      <c r="AZ40" s="40" t="s">
        <v>161</v>
      </c>
      <c r="BA40" s="40" t="s">
        <v>162</v>
      </c>
      <c r="BB40" s="40" t="s">
        <v>161</v>
      </c>
      <c r="BC40" s="40" t="s">
        <v>162</v>
      </c>
      <c r="BD40" s="40" t="s">
        <v>161</v>
      </c>
      <c r="BE40" s="40" t="s">
        <v>162</v>
      </c>
      <c r="BF40" s="40" t="s">
        <v>161</v>
      </c>
      <c r="BG40" s="40" t="s">
        <v>162</v>
      </c>
      <c r="BH40" s="40" t="s">
        <v>161</v>
      </c>
      <c r="BI40" s="40" t="s">
        <v>162</v>
      </c>
      <c r="BJ40" s="40" t="s">
        <v>161</v>
      </c>
      <c r="BK40" s="40" t="s">
        <v>162</v>
      </c>
      <c r="BL40" s="40" t="s">
        <v>161</v>
      </c>
      <c r="BM40" s="40" t="s">
        <v>162</v>
      </c>
      <c r="BN40" s="40" t="s">
        <v>161</v>
      </c>
      <c r="BO40" s="40" t="s">
        <v>162</v>
      </c>
      <c r="BP40" s="40" t="s">
        <v>161</v>
      </c>
      <c r="BQ40" s="40" t="s">
        <v>162</v>
      </c>
    </row>
    <row r="41" spans="1:69" ht="30" x14ac:dyDescent="0.25">
      <c r="A41" s="65" t="s">
        <v>163</v>
      </c>
      <c r="B41" s="41"/>
      <c r="C41" s="41"/>
      <c r="D41" s="41">
        <v>89734</v>
      </c>
      <c r="E41" s="41">
        <v>128608</v>
      </c>
      <c r="F41" s="41"/>
      <c r="G41" s="41"/>
      <c r="H41" s="41">
        <v>413519</v>
      </c>
      <c r="I41" s="41">
        <v>1312621</v>
      </c>
      <c r="J41" s="41">
        <v>545451</v>
      </c>
      <c r="K41" s="41">
        <v>1964200</v>
      </c>
      <c r="L41" s="41">
        <v>25862</v>
      </c>
      <c r="M41" s="41">
        <v>143022</v>
      </c>
      <c r="N41" s="41">
        <v>687021</v>
      </c>
      <c r="O41" s="41">
        <v>2100689</v>
      </c>
      <c r="P41" s="41">
        <v>57196</v>
      </c>
      <c r="Q41" s="41">
        <v>198622</v>
      </c>
      <c r="R41" s="41">
        <v>82942</v>
      </c>
      <c r="S41" s="41">
        <v>128543</v>
      </c>
      <c r="T41" s="41"/>
      <c r="U41" s="41"/>
      <c r="V41" s="41"/>
      <c r="W41" s="41"/>
      <c r="X41" s="41">
        <v>175196</v>
      </c>
      <c r="Y41" s="41">
        <v>917589</v>
      </c>
      <c r="Z41" s="41"/>
      <c r="AA41" s="41"/>
      <c r="AB41" s="18">
        <v>1421354</v>
      </c>
      <c r="AC41" s="18">
        <v>5931623</v>
      </c>
      <c r="AD41" s="18">
        <v>1182474</v>
      </c>
      <c r="AE41" s="18">
        <v>4530364</v>
      </c>
      <c r="AF41" s="41"/>
      <c r="AG41" s="41"/>
      <c r="AH41" s="18">
        <v>8285</v>
      </c>
      <c r="AI41" s="18">
        <v>71015</v>
      </c>
      <c r="AJ41" s="41">
        <v>40580</v>
      </c>
      <c r="AK41" s="41">
        <v>170399</v>
      </c>
      <c r="AL41" s="41">
        <v>11815</v>
      </c>
      <c r="AM41" s="41">
        <v>31650</v>
      </c>
      <c r="AN41" s="41">
        <v>48707</v>
      </c>
      <c r="AO41" s="41">
        <v>112060</v>
      </c>
      <c r="AP41" s="41">
        <v>1219133.594</v>
      </c>
      <c r="AQ41" s="41">
        <v>3124240.835</v>
      </c>
      <c r="AR41" s="41">
        <v>1792136</v>
      </c>
      <c r="AS41" s="41">
        <v>4839998</v>
      </c>
      <c r="AT41" s="41">
        <v>1954982</v>
      </c>
      <c r="AU41" s="41">
        <v>5596105</v>
      </c>
      <c r="AV41" s="41">
        <v>207</v>
      </c>
      <c r="AW41" s="41">
        <v>1554</v>
      </c>
      <c r="AX41" s="41">
        <v>56479</v>
      </c>
      <c r="AY41" s="41">
        <v>289336</v>
      </c>
      <c r="AZ41" s="41">
        <v>345273</v>
      </c>
      <c r="BA41" s="41">
        <v>1036730</v>
      </c>
      <c r="BB41" s="43">
        <v>137160</v>
      </c>
      <c r="BC41" s="43">
        <v>606014</v>
      </c>
      <c r="BD41" s="41">
        <v>1801064</v>
      </c>
      <c r="BE41" s="41">
        <v>4661469</v>
      </c>
      <c r="BF41" s="41">
        <v>26011</v>
      </c>
      <c r="BG41" s="41">
        <v>162612</v>
      </c>
      <c r="BH41" s="41"/>
      <c r="BI41" s="41"/>
      <c r="BJ41" s="41">
        <v>468969</v>
      </c>
      <c r="BK41" s="41">
        <v>1710639</v>
      </c>
      <c r="BL41" s="41">
        <v>544290</v>
      </c>
      <c r="BM41" s="41">
        <v>2390716</v>
      </c>
      <c r="BN41" s="41">
        <v>43171</v>
      </c>
      <c r="BO41" s="41">
        <v>587672</v>
      </c>
      <c r="BP41" s="41">
        <f>B41+D41+F41+H41+J41+L41+N41+P41+R41+T41+V41+X41+Z41+AB41+AD41+AF41+AH41+AJ41+AL41+AN41+AP41+AR41+AT41+AV41+AX41+AZ41+BB41+BD41+BF41+BH41+BJ41+BL41+BN41</f>
        <v>13179011.594000001</v>
      </c>
      <c r="BQ41" s="41">
        <f>C41+E41+G41+I41+K41+M41+O41+Q41+S41+U41+W41+Y41+AA41+AC41+AD48+AG41+AI41+AK41+AM41+AO41+AQ41+AS41+AU41+AW41+AY41+BA41+BC41+BE41+BG41+BI41+BK41+BM41+BO41</f>
        <v>38253512.835000001</v>
      </c>
    </row>
    <row r="42" spans="1:69" x14ac:dyDescent="0.25">
      <c r="A42" s="65" t="s">
        <v>164</v>
      </c>
      <c r="B42" s="41"/>
      <c r="C42" s="41"/>
      <c r="D42" s="41">
        <v>80067</v>
      </c>
      <c r="E42" s="41">
        <v>109265</v>
      </c>
      <c r="F42" s="41"/>
      <c r="G42" s="41"/>
      <c r="H42" s="41">
        <v>337031</v>
      </c>
      <c r="I42" s="41">
        <v>1096638</v>
      </c>
      <c r="J42" s="68">
        <v>511701</v>
      </c>
      <c r="K42" s="41">
        <v>1821650</v>
      </c>
      <c r="L42" s="41">
        <v>24203</v>
      </c>
      <c r="M42" s="41">
        <v>133722</v>
      </c>
      <c r="N42" s="41">
        <v>640691</v>
      </c>
      <c r="O42" s="41">
        <v>1923025</v>
      </c>
      <c r="P42" s="41">
        <v>48789</v>
      </c>
      <c r="Q42" s="41">
        <v>157501</v>
      </c>
      <c r="R42" s="41">
        <v>36707</v>
      </c>
      <c r="S42" s="41">
        <v>56669</v>
      </c>
      <c r="T42" s="41"/>
      <c r="U42" s="41"/>
      <c r="V42" s="41"/>
      <c r="W42" s="41"/>
      <c r="X42" s="41">
        <v>131073</v>
      </c>
      <c r="Y42" s="41">
        <v>772985</v>
      </c>
      <c r="Z42" s="41"/>
      <c r="AA42" s="41"/>
      <c r="AB42" s="18">
        <v>999689</v>
      </c>
      <c r="AC42" s="18">
        <v>4204143</v>
      </c>
      <c r="AD42" s="18">
        <v>816394</v>
      </c>
      <c r="AE42" s="18">
        <v>3243882</v>
      </c>
      <c r="AF42" s="41"/>
      <c r="AG42" s="41"/>
      <c r="AH42" s="18">
        <v>1845</v>
      </c>
      <c r="AI42" s="18">
        <v>25392</v>
      </c>
      <c r="AJ42" s="41">
        <v>38131</v>
      </c>
      <c r="AK42" s="41">
        <v>154466</v>
      </c>
      <c r="AL42" s="41">
        <v>9015</v>
      </c>
      <c r="AM42" s="41">
        <v>23621</v>
      </c>
      <c r="AN42" s="41">
        <v>15557</v>
      </c>
      <c r="AO42" s="41">
        <v>40859</v>
      </c>
      <c r="AP42" s="41">
        <v>1158176.9140000001</v>
      </c>
      <c r="AQ42" s="41">
        <v>2968072.023</v>
      </c>
      <c r="AR42" s="41">
        <v>1690967</v>
      </c>
      <c r="AS42" s="41">
        <v>4591749</v>
      </c>
      <c r="AT42" s="41">
        <v>1638963</v>
      </c>
      <c r="AU42" s="41">
        <v>5021221</v>
      </c>
      <c r="AV42" s="41">
        <v>33</v>
      </c>
      <c r="AW42" s="41">
        <v>329</v>
      </c>
      <c r="AX42" s="41">
        <v>47971</v>
      </c>
      <c r="AY42" s="41">
        <v>298496</v>
      </c>
      <c r="AZ42" s="41">
        <v>289465</v>
      </c>
      <c r="BA42" s="41">
        <v>803335</v>
      </c>
      <c r="BB42" s="43">
        <v>113678</v>
      </c>
      <c r="BC42" s="43">
        <v>508339</v>
      </c>
      <c r="BD42" s="41">
        <v>1634479</v>
      </c>
      <c r="BE42" s="41">
        <v>4144073</v>
      </c>
      <c r="BF42" s="41">
        <v>4149</v>
      </c>
      <c r="BG42" s="41">
        <v>20087</v>
      </c>
      <c r="BH42" s="41"/>
      <c r="BI42" s="41"/>
      <c r="BJ42" s="41">
        <v>320297</v>
      </c>
      <c r="BK42" s="41">
        <v>1227944</v>
      </c>
      <c r="BL42" s="41">
        <v>534103</v>
      </c>
      <c r="BM42" s="41">
        <v>2057691</v>
      </c>
      <c r="BN42" s="41">
        <v>34041</v>
      </c>
      <c r="BO42" s="41">
        <v>484702</v>
      </c>
      <c r="BP42" s="41">
        <f>B42+D42+F42+H42+J42+L42+N42+P42+R42+T42+V42+X42+Z42+AB42+AD42+AF42+AH42+AJ42+AL42+AN42+AP42+AS41+AU41+AV42+AX42+AZ42+BB42+BD42+BF42+BH42+BJ42+BL42+BN42</f>
        <v>18263388.914000001</v>
      </c>
      <c r="BQ42" s="41">
        <f>C42+E42+G42+I42+K42+M42+O42+Q42+S42+U42+W42+Y42+AA42+AC42+AD49+AG42+AI42+AK42+AM42+AO42+AQ42+AS42+AU42+AW42+AY42+BA42+BC42+BE42+BG42+BI42+BK42+BM42+BO42</f>
        <v>32642898.023000002</v>
      </c>
    </row>
    <row r="43" spans="1:69" x14ac:dyDescent="0.25">
      <c r="A43" s="65" t="s">
        <v>165</v>
      </c>
      <c r="B43" s="41"/>
      <c r="C43" s="41"/>
      <c r="D43" s="41">
        <v>50681</v>
      </c>
      <c r="E43" s="41">
        <v>61022</v>
      </c>
      <c r="F43" s="41"/>
      <c r="G43" s="41"/>
      <c r="H43" s="41">
        <v>350954</v>
      </c>
      <c r="I43" s="41">
        <v>1028664</v>
      </c>
      <c r="J43" s="68">
        <v>415843</v>
      </c>
      <c r="K43" s="41">
        <v>1564305</v>
      </c>
      <c r="L43" s="41">
        <v>34523</v>
      </c>
      <c r="M43" s="41">
        <v>130315</v>
      </c>
      <c r="N43" s="41">
        <v>370341</v>
      </c>
      <c r="O43" s="41">
        <v>1267354</v>
      </c>
      <c r="P43" s="41">
        <v>48789</v>
      </c>
      <c r="Q43" s="41">
        <v>157501</v>
      </c>
      <c r="R43" s="41">
        <v>18044</v>
      </c>
      <c r="S43" s="41">
        <v>27746</v>
      </c>
      <c r="T43" s="41"/>
      <c r="U43" s="41"/>
      <c r="V43" s="41"/>
      <c r="W43" s="41"/>
      <c r="X43" s="41">
        <v>124106</v>
      </c>
      <c r="Y43" s="41">
        <v>833668</v>
      </c>
      <c r="Z43" s="41"/>
      <c r="AA43" s="41"/>
      <c r="AB43" s="18">
        <v>870066</v>
      </c>
      <c r="AC43" s="18">
        <v>3366526</v>
      </c>
      <c r="AD43" s="18">
        <v>615894</v>
      </c>
      <c r="AE43" s="18">
        <v>2347453</v>
      </c>
      <c r="AF43" s="41"/>
      <c r="AG43" s="41"/>
      <c r="AH43" s="18">
        <v>6061</v>
      </c>
      <c r="AI43" s="18">
        <v>21388</v>
      </c>
      <c r="AJ43" s="41">
        <v>36098</v>
      </c>
      <c r="AK43" s="41">
        <v>147174</v>
      </c>
      <c r="AL43" s="41">
        <v>5295</v>
      </c>
      <c r="AM43" s="41">
        <v>16334</v>
      </c>
      <c r="AN43" s="41">
        <v>25902</v>
      </c>
      <c r="AO43" s="41">
        <v>55118</v>
      </c>
      <c r="AP43" s="41">
        <v>1084815.888</v>
      </c>
      <c r="AQ43" s="41">
        <v>2978773.4470000002</v>
      </c>
      <c r="AR43" s="41">
        <v>1228113</v>
      </c>
      <c r="AS43" s="41">
        <v>4259521</v>
      </c>
      <c r="AT43" s="41">
        <v>1504210</v>
      </c>
      <c r="AU43" s="41">
        <v>4642840</v>
      </c>
      <c r="AV43" s="41">
        <v>68</v>
      </c>
      <c r="AW43" s="41">
        <v>900</v>
      </c>
      <c r="AX43" s="41">
        <v>60953</v>
      </c>
      <c r="AY43" s="41">
        <v>300932</v>
      </c>
      <c r="AZ43" s="41">
        <v>226185</v>
      </c>
      <c r="BA43" s="41">
        <v>578225</v>
      </c>
      <c r="BB43" s="43">
        <v>124137</v>
      </c>
      <c r="BC43" s="43">
        <v>484229</v>
      </c>
      <c r="BD43" s="41">
        <v>1043279</v>
      </c>
      <c r="BE43" s="41">
        <v>4075012</v>
      </c>
      <c r="BF43" s="41">
        <v>4980</v>
      </c>
      <c r="BG43" s="41">
        <v>22060</v>
      </c>
      <c r="BH43" s="41"/>
      <c r="BI43" s="41"/>
      <c r="BJ43" s="41">
        <v>278005</v>
      </c>
      <c r="BK43" s="41">
        <v>1110689</v>
      </c>
      <c r="BL43" s="41">
        <v>532141</v>
      </c>
      <c r="BM43" s="41">
        <v>2115059</v>
      </c>
      <c r="BN43" s="41">
        <v>72057</v>
      </c>
      <c r="BO43" s="41">
        <v>469841</v>
      </c>
      <c r="BP43" s="41">
        <f>B43+D43+F43+H43+J43+L43+N43+P43+R43+T43+V43+X43+Z43+AB43+AD43+AF43+AH43+AJ43+AM42+AN43+AP43+AS42+AU42+AV43+AX43+AZ43+BB43+BD43+BF43+BH43+BJ43+BL43+BN43</f>
        <v>16030513.888</v>
      </c>
      <c r="BQ43" s="41">
        <f>C43+E43+G43+I43+K43+M43+O43+Q43+S43+U43+W43+Y43+AA43+AC43+AD50+AG43+AI43+AK43+AM43+AO43+AQ43+AS43+AU43+AW43+AY43+BA43+BC43+BE43+BG43+BI43+BK43+BM43+BO43</f>
        <v>29728133.447000001</v>
      </c>
    </row>
    <row r="44" spans="1:69" s="5" customFormat="1" x14ac:dyDescent="0.25">
      <c r="A44" s="73"/>
    </row>
    <row r="45" spans="1:69" s="5" customFormat="1" x14ac:dyDescent="0.25">
      <c r="A45" s="63" t="s">
        <v>137</v>
      </c>
    </row>
    <row r="46" spans="1:69" s="12" customFormat="1" x14ac:dyDescent="0.25">
      <c r="A46" s="20" t="s">
        <v>0</v>
      </c>
      <c r="B46" s="160" t="s">
        <v>1</v>
      </c>
      <c r="C46" s="160"/>
      <c r="D46" s="160" t="s">
        <v>2</v>
      </c>
      <c r="E46" s="160"/>
      <c r="F46" s="160" t="s">
        <v>3</v>
      </c>
      <c r="G46" s="160"/>
      <c r="H46" s="160" t="s">
        <v>4</v>
      </c>
      <c r="I46" s="160"/>
      <c r="J46" s="160" t="s">
        <v>5</v>
      </c>
      <c r="K46" s="160"/>
      <c r="L46" s="160" t="s">
        <v>6</v>
      </c>
      <c r="M46" s="160"/>
      <c r="N46" s="160" t="s">
        <v>7</v>
      </c>
      <c r="O46" s="160"/>
      <c r="P46" s="160" t="s">
        <v>8</v>
      </c>
      <c r="Q46" s="160"/>
      <c r="R46" s="160" t="s">
        <v>9</v>
      </c>
      <c r="S46" s="160"/>
      <c r="T46" s="160" t="s">
        <v>10</v>
      </c>
      <c r="U46" s="160"/>
      <c r="V46" s="160" t="s">
        <v>11</v>
      </c>
      <c r="W46" s="160"/>
      <c r="X46" s="160" t="s">
        <v>12</v>
      </c>
      <c r="Y46" s="160"/>
      <c r="Z46" s="160" t="s">
        <v>13</v>
      </c>
      <c r="AA46" s="160"/>
      <c r="AB46" s="160" t="s">
        <v>14</v>
      </c>
      <c r="AC46" s="160"/>
      <c r="AD46" s="160" t="s">
        <v>15</v>
      </c>
      <c r="AE46" s="160"/>
      <c r="AF46" s="160" t="s">
        <v>16</v>
      </c>
      <c r="AG46" s="160"/>
      <c r="AH46" s="160" t="s">
        <v>17</v>
      </c>
      <c r="AI46" s="160"/>
      <c r="AJ46" s="160" t="s">
        <v>18</v>
      </c>
      <c r="AK46" s="160"/>
      <c r="AL46" s="160" t="s">
        <v>19</v>
      </c>
      <c r="AM46" s="160"/>
      <c r="AN46" s="160" t="s">
        <v>20</v>
      </c>
      <c r="AO46" s="160"/>
      <c r="AP46" s="160" t="s">
        <v>21</v>
      </c>
      <c r="AQ46" s="160"/>
      <c r="AR46" s="160" t="s">
        <v>109</v>
      </c>
      <c r="AS46" s="160"/>
      <c r="AT46" s="160" t="s">
        <v>110</v>
      </c>
      <c r="AU46" s="160"/>
      <c r="AV46" s="160" t="s">
        <v>22</v>
      </c>
      <c r="AW46" s="160"/>
      <c r="AX46" s="160" t="s">
        <v>23</v>
      </c>
      <c r="AY46" s="160"/>
      <c r="AZ46" s="160" t="s">
        <v>24</v>
      </c>
      <c r="BA46" s="160"/>
      <c r="BB46" s="160" t="s">
        <v>25</v>
      </c>
      <c r="BC46" s="160"/>
      <c r="BD46" s="160" t="s">
        <v>26</v>
      </c>
      <c r="BE46" s="160"/>
      <c r="BF46" s="160" t="s">
        <v>27</v>
      </c>
      <c r="BG46" s="160"/>
      <c r="BH46" s="160" t="s">
        <v>28</v>
      </c>
      <c r="BI46" s="160"/>
      <c r="BJ46" s="160" t="s">
        <v>29</v>
      </c>
      <c r="BK46" s="160"/>
      <c r="BL46" s="160" t="s">
        <v>30</v>
      </c>
      <c r="BM46" s="160"/>
      <c r="BN46" s="160" t="s">
        <v>31</v>
      </c>
      <c r="BO46" s="160"/>
      <c r="BP46" s="160" t="s">
        <v>150</v>
      </c>
      <c r="BQ46" s="160"/>
    </row>
    <row r="47" spans="1:69" s="39" customFormat="1" ht="44.25" customHeight="1" x14ac:dyDescent="0.25">
      <c r="A47" s="40"/>
      <c r="B47" s="40" t="s">
        <v>161</v>
      </c>
      <c r="C47" s="40" t="s">
        <v>162</v>
      </c>
      <c r="D47" s="40" t="s">
        <v>161</v>
      </c>
      <c r="E47" s="40" t="s">
        <v>162</v>
      </c>
      <c r="F47" s="40" t="s">
        <v>161</v>
      </c>
      <c r="G47" s="40" t="s">
        <v>162</v>
      </c>
      <c r="H47" s="40" t="s">
        <v>161</v>
      </c>
      <c r="I47" s="40" t="s">
        <v>162</v>
      </c>
      <c r="J47" s="40" t="s">
        <v>161</v>
      </c>
      <c r="K47" s="40" t="s">
        <v>162</v>
      </c>
      <c r="L47" s="40" t="s">
        <v>161</v>
      </c>
      <c r="M47" s="40" t="s">
        <v>162</v>
      </c>
      <c r="N47" s="40" t="s">
        <v>161</v>
      </c>
      <c r="O47" s="40" t="s">
        <v>162</v>
      </c>
      <c r="P47" s="40" t="s">
        <v>161</v>
      </c>
      <c r="Q47" s="40" t="s">
        <v>162</v>
      </c>
      <c r="R47" s="40" t="s">
        <v>161</v>
      </c>
      <c r="S47" s="40" t="s">
        <v>162</v>
      </c>
      <c r="T47" s="40" t="s">
        <v>161</v>
      </c>
      <c r="U47" s="40" t="s">
        <v>162</v>
      </c>
      <c r="V47" s="40" t="s">
        <v>161</v>
      </c>
      <c r="W47" s="40" t="s">
        <v>162</v>
      </c>
      <c r="X47" s="40" t="s">
        <v>161</v>
      </c>
      <c r="Y47" s="40" t="s">
        <v>162</v>
      </c>
      <c r="Z47" s="40" t="s">
        <v>161</v>
      </c>
      <c r="AA47" s="40" t="s">
        <v>162</v>
      </c>
      <c r="AB47" s="40" t="s">
        <v>161</v>
      </c>
      <c r="AC47" s="40" t="s">
        <v>162</v>
      </c>
      <c r="AD47" s="40" t="s">
        <v>161</v>
      </c>
      <c r="AE47" s="40" t="s">
        <v>162</v>
      </c>
      <c r="AF47" s="40" t="s">
        <v>161</v>
      </c>
      <c r="AG47" s="40" t="s">
        <v>162</v>
      </c>
      <c r="AH47" s="40" t="s">
        <v>161</v>
      </c>
      <c r="AI47" s="40" t="s">
        <v>162</v>
      </c>
      <c r="AJ47" s="40" t="s">
        <v>161</v>
      </c>
      <c r="AK47" s="40" t="s">
        <v>162</v>
      </c>
      <c r="AL47" s="40" t="s">
        <v>161</v>
      </c>
      <c r="AM47" s="40" t="s">
        <v>162</v>
      </c>
      <c r="AN47" s="40" t="s">
        <v>161</v>
      </c>
      <c r="AO47" s="40" t="s">
        <v>162</v>
      </c>
      <c r="AP47" s="40" t="s">
        <v>161</v>
      </c>
      <c r="AQ47" s="40" t="s">
        <v>162</v>
      </c>
      <c r="AR47" s="40" t="s">
        <v>161</v>
      </c>
      <c r="AS47" s="40" t="s">
        <v>162</v>
      </c>
      <c r="AT47" s="40" t="s">
        <v>161</v>
      </c>
      <c r="AU47" s="40" t="s">
        <v>162</v>
      </c>
      <c r="AV47" s="40" t="s">
        <v>161</v>
      </c>
      <c r="AW47" s="40" t="s">
        <v>162</v>
      </c>
      <c r="AX47" s="40" t="s">
        <v>161</v>
      </c>
      <c r="AY47" s="40" t="s">
        <v>162</v>
      </c>
      <c r="AZ47" s="40" t="s">
        <v>161</v>
      </c>
      <c r="BA47" s="40" t="s">
        <v>162</v>
      </c>
      <c r="BB47" s="40" t="s">
        <v>161</v>
      </c>
      <c r="BC47" s="40" t="s">
        <v>162</v>
      </c>
      <c r="BD47" s="40" t="s">
        <v>161</v>
      </c>
      <c r="BE47" s="40" t="s">
        <v>162</v>
      </c>
      <c r="BF47" s="40" t="s">
        <v>161</v>
      </c>
      <c r="BG47" s="40" t="s">
        <v>162</v>
      </c>
      <c r="BH47" s="40" t="s">
        <v>161</v>
      </c>
      <c r="BI47" s="40" t="s">
        <v>162</v>
      </c>
      <c r="BJ47" s="40" t="s">
        <v>161</v>
      </c>
      <c r="BK47" s="40" t="s">
        <v>162</v>
      </c>
      <c r="BL47" s="40" t="s">
        <v>161</v>
      </c>
      <c r="BM47" s="40" t="s">
        <v>162</v>
      </c>
      <c r="BN47" s="40" t="s">
        <v>161</v>
      </c>
      <c r="BO47" s="40" t="s">
        <v>162</v>
      </c>
      <c r="BP47" s="40" t="s">
        <v>161</v>
      </c>
      <c r="BQ47" s="40" t="s">
        <v>162</v>
      </c>
    </row>
    <row r="48" spans="1:69" ht="30" x14ac:dyDescent="0.25">
      <c r="A48" s="65" t="s">
        <v>163</v>
      </c>
      <c r="B48" s="41"/>
      <c r="C48" s="41"/>
      <c r="D48" s="41"/>
      <c r="E48" s="41"/>
      <c r="F48" s="41"/>
      <c r="G48" s="41"/>
      <c r="H48" s="41"/>
      <c r="I48" s="41"/>
      <c r="J48" s="71">
        <v>74475</v>
      </c>
      <c r="K48" s="41">
        <v>365557</v>
      </c>
      <c r="L48" s="41">
        <v>76289</v>
      </c>
      <c r="M48" s="41">
        <v>229840</v>
      </c>
      <c r="N48" s="41">
        <v>16856</v>
      </c>
      <c r="O48" s="41">
        <v>160078</v>
      </c>
      <c r="P48" s="41"/>
      <c r="Q48" s="41"/>
      <c r="R48" s="41"/>
      <c r="S48" s="41"/>
      <c r="T48" s="18">
        <v>1240</v>
      </c>
      <c r="U48" s="18">
        <v>1240</v>
      </c>
      <c r="V48" s="41"/>
      <c r="W48" s="41"/>
      <c r="X48" s="41">
        <v>51649</v>
      </c>
      <c r="Y48" s="41">
        <v>173479</v>
      </c>
      <c r="Z48" s="41"/>
      <c r="AA48" s="41"/>
      <c r="AB48" s="41">
        <f>7095+17111+108272</f>
        <v>132478</v>
      </c>
      <c r="AC48" s="41">
        <f>22339+23542+512763</f>
        <v>558644</v>
      </c>
      <c r="AD48" s="18">
        <v>35786</v>
      </c>
      <c r="AE48" s="18">
        <v>308122</v>
      </c>
      <c r="AF48" s="41"/>
      <c r="AG48" s="41"/>
      <c r="AH48" s="41"/>
      <c r="AI48" s="41"/>
      <c r="AJ48" s="41">
        <v>14439</v>
      </c>
      <c r="AK48" s="41">
        <v>43029</v>
      </c>
      <c r="AL48" s="41">
        <f>97+130023</f>
        <v>130120</v>
      </c>
      <c r="AM48" s="41">
        <f>327+211441</f>
        <v>211768</v>
      </c>
      <c r="AN48" s="41"/>
      <c r="AO48" s="41"/>
      <c r="AP48" s="41">
        <v>88839.44524375</v>
      </c>
      <c r="AQ48" s="41">
        <v>507093.74910625</v>
      </c>
      <c r="AR48" s="41">
        <v>474058</v>
      </c>
      <c r="AS48" s="74">
        <v>4141892</v>
      </c>
      <c r="AT48" s="41">
        <v>272388</v>
      </c>
      <c r="AU48" s="41">
        <v>727765</v>
      </c>
      <c r="AV48" s="41">
        <f>12847+44299</f>
        <v>57146</v>
      </c>
      <c r="AW48" s="41"/>
      <c r="AX48" s="41">
        <v>29285</v>
      </c>
      <c r="AY48" s="41">
        <v>354659</v>
      </c>
      <c r="AZ48" s="41"/>
      <c r="BA48" s="41"/>
      <c r="BB48" s="43">
        <v>22058</v>
      </c>
      <c r="BC48" s="43">
        <v>79505</v>
      </c>
      <c r="BD48" s="41">
        <v>20074</v>
      </c>
      <c r="BE48" s="41">
        <v>88603</v>
      </c>
      <c r="BF48" s="41">
        <v>845</v>
      </c>
      <c r="BG48" s="41">
        <v>7507</v>
      </c>
      <c r="BH48" s="41"/>
      <c r="BI48" s="41"/>
      <c r="BJ48" s="41">
        <v>556134</v>
      </c>
      <c r="BK48" s="41">
        <v>2787450</v>
      </c>
      <c r="BL48" s="41">
        <v>276343</v>
      </c>
      <c r="BM48" s="41">
        <v>1177551</v>
      </c>
      <c r="BN48" s="41">
        <v>1137</v>
      </c>
      <c r="BO48" s="41">
        <v>5646</v>
      </c>
      <c r="BP48" s="41">
        <f>B48+D48+F48+H48+J48+L48+N48+P48+R48+T48+V48+X48+Z48+AB48+AD48+AF48+AH48+AJ48+AL48+AN48+AP48+AR48+AT48+AV48+AX48+AZ48+BB48+BD48+BF48+BH48+BJ48+BL48+BN48</f>
        <v>2331639.4452437498</v>
      </c>
      <c r="BQ48" s="41">
        <f>C48+E48+G48+I48+K48+M48+O48+Q48+S48+U48+W48+Y48+AA48+AC48+AD55+AG48+AI48+AK48+AM48+AO48+AQ48+AS48+AU48+AW48+AY48+BA48+BC48+BE48+BG48+BI48+BK48+BM48+BO48</f>
        <v>11737576.749106251</v>
      </c>
    </row>
    <row r="49" spans="1:69" x14ac:dyDescent="0.25">
      <c r="A49" s="65" t="s">
        <v>164</v>
      </c>
      <c r="B49" s="41"/>
      <c r="C49" s="41"/>
      <c r="D49" s="41"/>
      <c r="E49" s="41"/>
      <c r="F49" s="41"/>
      <c r="G49" s="41"/>
      <c r="H49" s="41"/>
      <c r="I49" s="41"/>
      <c r="J49" s="75">
        <v>29165</v>
      </c>
      <c r="K49" s="41">
        <v>129585</v>
      </c>
      <c r="L49" s="41">
        <v>36246</v>
      </c>
      <c r="M49" s="41">
        <v>126228</v>
      </c>
      <c r="N49" s="41">
        <v>13177</v>
      </c>
      <c r="O49" s="41">
        <v>60538</v>
      </c>
      <c r="P49" s="41"/>
      <c r="Q49" s="41"/>
      <c r="R49" s="41"/>
      <c r="S49" s="41"/>
      <c r="T49" s="41">
        <v>4</v>
      </c>
      <c r="U49" s="41">
        <v>4</v>
      </c>
      <c r="V49" s="41"/>
      <c r="W49" s="41"/>
      <c r="X49" s="41">
        <v>18318</v>
      </c>
      <c r="Y49" s="41">
        <v>67160</v>
      </c>
      <c r="Z49" s="41"/>
      <c r="AA49" s="41"/>
      <c r="AB49" s="41">
        <f>2634+787+34050</f>
        <v>37471</v>
      </c>
      <c r="AC49" s="41">
        <f>12916+5330+222449</f>
        <v>240695</v>
      </c>
      <c r="AD49" s="18">
        <v>-3076</v>
      </c>
      <c r="AE49" s="18">
        <v>118934</v>
      </c>
      <c r="AF49" s="41"/>
      <c r="AG49" s="41"/>
      <c r="AH49" s="41"/>
      <c r="AI49" s="41"/>
      <c r="AJ49" s="41">
        <v>12325</v>
      </c>
      <c r="AK49" s="41">
        <v>25856</v>
      </c>
      <c r="AL49" s="41">
        <f>92+6287</f>
        <v>6379</v>
      </c>
      <c r="AM49" s="41">
        <f>309+9815</f>
        <v>10124</v>
      </c>
      <c r="AN49" s="41"/>
      <c r="AO49" s="41"/>
      <c r="AP49" s="41">
        <v>84393.559591612007</v>
      </c>
      <c r="AQ49" s="41">
        <v>481853.920563914</v>
      </c>
      <c r="AR49" s="7">
        <v>505894</v>
      </c>
      <c r="AS49" s="74">
        <v>3095606</v>
      </c>
      <c r="AT49" s="41">
        <v>252347</v>
      </c>
      <c r="AU49" s="41">
        <v>566583</v>
      </c>
      <c r="AV49" s="41">
        <f>11745+47784</f>
        <v>59529</v>
      </c>
      <c r="AW49" s="41"/>
      <c r="AX49" s="41">
        <v>27074</v>
      </c>
      <c r="AY49" s="41">
        <v>102533</v>
      </c>
      <c r="AZ49" s="41"/>
      <c r="BA49" s="41"/>
      <c r="BB49" s="43">
        <v>5682</v>
      </c>
      <c r="BC49" s="43">
        <v>31967</v>
      </c>
      <c r="BD49" s="41">
        <v>7244</v>
      </c>
      <c r="BE49" s="41">
        <v>34801</v>
      </c>
      <c r="BF49" s="41">
        <v>588</v>
      </c>
      <c r="BG49" s="41">
        <v>5223</v>
      </c>
      <c r="BH49" s="41"/>
      <c r="BI49" s="41"/>
      <c r="BJ49" s="41">
        <v>291150</v>
      </c>
      <c r="BK49" s="41">
        <v>1522872</v>
      </c>
      <c r="BL49" s="41">
        <v>256749</v>
      </c>
      <c r="BM49" s="41">
        <v>902910</v>
      </c>
      <c r="BN49" s="41">
        <v>1080</v>
      </c>
      <c r="BO49" s="41">
        <v>3497</v>
      </c>
      <c r="BP49" s="41">
        <f>B49+D49+F49+H49+J49+L49+N49+P49+R49+T49+V49+X49+Z49+AB49+AD49+AF49+AH49+AJ49+AL49+AN49+AP49+AS48+AU48+AV49+AX49+AZ49+BB49+BD49+BF49+BH49+BJ49+BL49+BN49</f>
        <v>5753155.5595916118</v>
      </c>
      <c r="BQ49" s="41">
        <f>C49+E49+G49+I49+K49+M49+O49+Q49+S49+U49+W49+Y49+AA49+AC49+AD56+AG49+AI49+AK49+AM49+AO49+AQ49+AS49+AU49+AW49+AY49+BA49+BC49+BE49+BG49+BI49+BK49+BM49+BO49</f>
        <v>7425234.9205639139</v>
      </c>
    </row>
    <row r="50" spans="1:69" x14ac:dyDescent="0.25">
      <c r="A50" s="65" t="s">
        <v>165</v>
      </c>
      <c r="B50" s="41"/>
      <c r="C50" s="41"/>
      <c r="D50" s="41"/>
      <c r="E50" s="41"/>
      <c r="F50" s="41"/>
      <c r="G50" s="41"/>
      <c r="H50" s="41"/>
      <c r="I50" s="41"/>
      <c r="J50" s="41">
        <v>32874</v>
      </c>
      <c r="K50" s="41">
        <v>124217</v>
      </c>
      <c r="L50" s="41">
        <v>33564</v>
      </c>
      <c r="M50" s="41">
        <v>114514</v>
      </c>
      <c r="N50" s="41">
        <v>11701</v>
      </c>
      <c r="O50" s="41">
        <v>53877</v>
      </c>
      <c r="P50" s="41"/>
      <c r="Q50" s="41"/>
      <c r="R50" s="41"/>
      <c r="S50" s="41"/>
      <c r="T50" s="41"/>
      <c r="U50" s="41"/>
      <c r="V50" s="41"/>
      <c r="W50" s="41"/>
      <c r="X50" s="41">
        <v>17103</v>
      </c>
      <c r="Y50" s="41">
        <v>74341</v>
      </c>
      <c r="Z50" s="41"/>
      <c r="AA50" s="41"/>
      <c r="AB50" s="41">
        <f>3910+1484+54724</f>
        <v>60118</v>
      </c>
      <c r="AC50" s="41">
        <f>16262+5738+206404</f>
        <v>228404</v>
      </c>
      <c r="AD50" s="18">
        <v>12937</v>
      </c>
      <c r="AE50" s="18">
        <v>116472</v>
      </c>
      <c r="AF50" s="41"/>
      <c r="AG50" s="41"/>
      <c r="AH50" s="41"/>
      <c r="AI50" s="41"/>
      <c r="AJ50" s="41">
        <v>5493</v>
      </c>
      <c r="AK50" s="41">
        <v>15349</v>
      </c>
      <c r="AL50" s="41">
        <f>81+3419</f>
        <v>3500</v>
      </c>
      <c r="AM50" s="41">
        <f>453+6508</f>
        <v>6961</v>
      </c>
      <c r="AN50" s="41"/>
      <c r="AO50" s="41"/>
      <c r="AP50" s="41">
        <v>79020.53759161201</v>
      </c>
      <c r="AQ50" s="41">
        <v>484566.083563914</v>
      </c>
      <c r="AR50" s="7">
        <v>200724</v>
      </c>
      <c r="AS50" s="9">
        <v>2888214</v>
      </c>
      <c r="AT50" s="41">
        <v>226624</v>
      </c>
      <c r="AU50" s="41">
        <v>562419</v>
      </c>
      <c r="AV50" s="41">
        <f>11145+59997</f>
        <v>71142</v>
      </c>
      <c r="AW50" s="41"/>
      <c r="AX50" s="41">
        <v>31300</v>
      </c>
      <c r="AY50" s="41">
        <v>88544</v>
      </c>
      <c r="AZ50" s="41"/>
      <c r="BA50" s="41"/>
      <c r="BB50" s="43">
        <v>7928</v>
      </c>
      <c r="BC50" s="43">
        <v>32156</v>
      </c>
      <c r="BD50" s="41">
        <v>7623</v>
      </c>
      <c r="BE50" s="41">
        <v>28510</v>
      </c>
      <c r="BF50" s="41">
        <v>1393</v>
      </c>
      <c r="BG50" s="41">
        <v>4899</v>
      </c>
      <c r="BH50" s="41"/>
      <c r="BI50" s="41"/>
      <c r="BJ50" s="41">
        <v>404249</v>
      </c>
      <c r="BK50" s="41">
        <v>1440760</v>
      </c>
      <c r="BL50" s="41">
        <v>219618</v>
      </c>
      <c r="BM50" s="41">
        <v>855837</v>
      </c>
      <c r="BN50" s="41">
        <v>1302</v>
      </c>
      <c r="BO50" s="41">
        <v>3043</v>
      </c>
      <c r="BP50" s="41">
        <f>B50+D50+F50+H50+J50+L50+N50+P50+R50+T50+V50+X50+Z50+AB50+AD50+AF50+AH50+AJ50+AM49+AN50+AP50+AS49+AU49+AV50+AX50+AZ50+BB50+BD50+BF50+BH50+BJ50+BL50+BN50</f>
        <v>4669678.537591612</v>
      </c>
      <c r="BQ50" s="41">
        <f>C50+E50+G50+I50+K50+M50+O50+Q50+S50+U50+W50+Y50+AA50+AC50+AD57+AG50+AI50+AK50+AM50+AO50+AQ50+AS50+AU50+AW50+AY50+BA50+BC50+BE50+BG50+BI50+BK50+BM50+BO50</f>
        <v>7005630.0835639145</v>
      </c>
    </row>
    <row r="51" spans="1:69" x14ac:dyDescent="0.25">
      <c r="A51" s="7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S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</row>
    <row r="52" spans="1:69" x14ac:dyDescent="0.25">
      <c r="A52" s="77" t="s">
        <v>151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</row>
    <row r="53" spans="1:69" s="12" customFormat="1" x14ac:dyDescent="0.25">
      <c r="A53" s="20" t="s">
        <v>0</v>
      </c>
      <c r="B53" s="160" t="s">
        <v>1</v>
      </c>
      <c r="C53" s="160"/>
      <c r="D53" s="160" t="s">
        <v>2</v>
      </c>
      <c r="E53" s="160"/>
      <c r="F53" s="160" t="s">
        <v>3</v>
      </c>
      <c r="G53" s="160"/>
      <c r="H53" s="160" t="s">
        <v>4</v>
      </c>
      <c r="I53" s="160"/>
      <c r="J53" s="160" t="s">
        <v>5</v>
      </c>
      <c r="K53" s="160"/>
      <c r="L53" s="160" t="s">
        <v>6</v>
      </c>
      <c r="M53" s="160"/>
      <c r="N53" s="160" t="s">
        <v>7</v>
      </c>
      <c r="O53" s="160"/>
      <c r="P53" s="160" t="s">
        <v>8</v>
      </c>
      <c r="Q53" s="160"/>
      <c r="R53" s="160" t="s">
        <v>9</v>
      </c>
      <c r="S53" s="160"/>
      <c r="T53" s="160" t="s">
        <v>10</v>
      </c>
      <c r="U53" s="160"/>
      <c r="V53" s="160" t="s">
        <v>11</v>
      </c>
      <c r="W53" s="160"/>
      <c r="X53" s="160" t="s">
        <v>12</v>
      </c>
      <c r="Y53" s="160"/>
      <c r="Z53" s="160" t="s">
        <v>13</v>
      </c>
      <c r="AA53" s="160"/>
      <c r="AB53" s="160" t="s">
        <v>14</v>
      </c>
      <c r="AC53" s="160"/>
      <c r="AD53" s="160" t="s">
        <v>15</v>
      </c>
      <c r="AE53" s="160"/>
      <c r="AF53" s="160" t="s">
        <v>16</v>
      </c>
      <c r="AG53" s="160"/>
      <c r="AH53" s="160" t="s">
        <v>17</v>
      </c>
      <c r="AI53" s="160"/>
      <c r="AJ53" s="160" t="s">
        <v>18</v>
      </c>
      <c r="AK53" s="160"/>
      <c r="AL53" s="160" t="s">
        <v>19</v>
      </c>
      <c r="AM53" s="160"/>
      <c r="AN53" s="160" t="s">
        <v>20</v>
      </c>
      <c r="AO53" s="160"/>
      <c r="AP53" s="160" t="s">
        <v>21</v>
      </c>
      <c r="AQ53" s="160"/>
      <c r="AR53" s="160" t="s">
        <v>109</v>
      </c>
      <c r="AS53" s="160"/>
      <c r="AT53" s="160" t="s">
        <v>110</v>
      </c>
      <c r="AU53" s="160"/>
      <c r="AV53" s="160" t="s">
        <v>22</v>
      </c>
      <c r="AW53" s="160"/>
      <c r="AX53" s="160" t="s">
        <v>23</v>
      </c>
      <c r="AY53" s="160"/>
      <c r="AZ53" s="160" t="s">
        <v>24</v>
      </c>
      <c r="BA53" s="160"/>
      <c r="BB53" s="160" t="s">
        <v>25</v>
      </c>
      <c r="BC53" s="160"/>
      <c r="BD53" s="160" t="s">
        <v>26</v>
      </c>
      <c r="BE53" s="160"/>
      <c r="BF53" s="160" t="s">
        <v>27</v>
      </c>
      <c r="BG53" s="160"/>
      <c r="BH53" s="160" t="s">
        <v>28</v>
      </c>
      <c r="BI53" s="160"/>
      <c r="BJ53" s="160" t="s">
        <v>29</v>
      </c>
      <c r="BK53" s="160"/>
      <c r="BL53" s="160" t="s">
        <v>30</v>
      </c>
      <c r="BM53" s="160"/>
      <c r="BN53" s="160" t="s">
        <v>31</v>
      </c>
      <c r="BO53" s="160"/>
      <c r="BP53" s="160" t="s">
        <v>150</v>
      </c>
      <c r="BQ53" s="160"/>
    </row>
    <row r="54" spans="1:69" s="39" customFormat="1" ht="44.25" customHeight="1" x14ac:dyDescent="0.25">
      <c r="A54" s="40"/>
      <c r="B54" s="40" t="s">
        <v>161</v>
      </c>
      <c r="C54" s="40" t="s">
        <v>162</v>
      </c>
      <c r="D54" s="40" t="s">
        <v>161</v>
      </c>
      <c r="E54" s="40" t="s">
        <v>162</v>
      </c>
      <c r="F54" s="40" t="s">
        <v>161</v>
      </c>
      <c r="G54" s="40" t="s">
        <v>162</v>
      </c>
      <c r="H54" s="40" t="s">
        <v>161</v>
      </c>
      <c r="I54" s="40" t="s">
        <v>162</v>
      </c>
      <c r="J54" s="40" t="s">
        <v>161</v>
      </c>
      <c r="K54" s="40" t="s">
        <v>162</v>
      </c>
      <c r="L54" s="40" t="s">
        <v>161</v>
      </c>
      <c r="M54" s="40" t="s">
        <v>162</v>
      </c>
      <c r="N54" s="40" t="s">
        <v>161</v>
      </c>
      <c r="O54" s="40" t="s">
        <v>162</v>
      </c>
      <c r="P54" s="40" t="s">
        <v>161</v>
      </c>
      <c r="Q54" s="40" t="s">
        <v>162</v>
      </c>
      <c r="R54" s="40" t="s">
        <v>161</v>
      </c>
      <c r="S54" s="40" t="s">
        <v>162</v>
      </c>
      <c r="T54" s="40" t="s">
        <v>161</v>
      </c>
      <c r="U54" s="40" t="s">
        <v>162</v>
      </c>
      <c r="V54" s="40" t="s">
        <v>161</v>
      </c>
      <c r="W54" s="40" t="s">
        <v>162</v>
      </c>
      <c r="X54" s="40" t="s">
        <v>161</v>
      </c>
      <c r="Y54" s="40" t="s">
        <v>162</v>
      </c>
      <c r="Z54" s="40" t="s">
        <v>161</v>
      </c>
      <c r="AA54" s="40" t="s">
        <v>162</v>
      </c>
      <c r="AB54" s="40" t="s">
        <v>161</v>
      </c>
      <c r="AC54" s="40" t="s">
        <v>162</v>
      </c>
      <c r="AD54" s="40" t="s">
        <v>161</v>
      </c>
      <c r="AE54" s="40" t="s">
        <v>162</v>
      </c>
      <c r="AF54" s="40" t="s">
        <v>161</v>
      </c>
      <c r="AG54" s="40" t="s">
        <v>162</v>
      </c>
      <c r="AH54" s="40" t="s">
        <v>161</v>
      </c>
      <c r="AI54" s="40" t="s">
        <v>162</v>
      </c>
      <c r="AJ54" s="40" t="s">
        <v>161</v>
      </c>
      <c r="AK54" s="40" t="s">
        <v>162</v>
      </c>
      <c r="AL54" s="40" t="s">
        <v>161</v>
      </c>
      <c r="AM54" s="40" t="s">
        <v>162</v>
      </c>
      <c r="AN54" s="40" t="s">
        <v>161</v>
      </c>
      <c r="AO54" s="40" t="s">
        <v>162</v>
      </c>
      <c r="AP54" s="40" t="s">
        <v>161</v>
      </c>
      <c r="AQ54" s="40" t="s">
        <v>162</v>
      </c>
      <c r="AR54" s="40" t="s">
        <v>161</v>
      </c>
      <c r="AS54" s="40" t="s">
        <v>162</v>
      </c>
      <c r="AT54" s="40" t="s">
        <v>161</v>
      </c>
      <c r="AU54" s="40" t="s">
        <v>162</v>
      </c>
      <c r="AV54" s="40" t="s">
        <v>161</v>
      </c>
      <c r="AW54" s="40" t="s">
        <v>162</v>
      </c>
      <c r="AX54" s="40" t="s">
        <v>161</v>
      </c>
      <c r="AY54" s="40" t="s">
        <v>162</v>
      </c>
      <c r="AZ54" s="40" t="s">
        <v>161</v>
      </c>
      <c r="BA54" s="40" t="s">
        <v>162</v>
      </c>
      <c r="BB54" s="40" t="s">
        <v>161</v>
      </c>
      <c r="BC54" s="40" t="s">
        <v>162</v>
      </c>
      <c r="BD54" s="40" t="s">
        <v>161</v>
      </c>
      <c r="BE54" s="40" t="s">
        <v>162</v>
      </c>
      <c r="BF54" s="40" t="s">
        <v>161</v>
      </c>
      <c r="BG54" s="40" t="s">
        <v>162</v>
      </c>
      <c r="BH54" s="40" t="s">
        <v>161</v>
      </c>
      <c r="BI54" s="40" t="s">
        <v>162</v>
      </c>
      <c r="BJ54" s="40" t="s">
        <v>161</v>
      </c>
      <c r="BK54" s="40" t="s">
        <v>162</v>
      </c>
      <c r="BL54" s="40" t="s">
        <v>161</v>
      </c>
      <c r="BM54" s="40" t="s">
        <v>162</v>
      </c>
      <c r="BN54" s="40" t="s">
        <v>161</v>
      </c>
      <c r="BO54" s="40" t="s">
        <v>162</v>
      </c>
      <c r="BP54" s="40" t="s">
        <v>161</v>
      </c>
      <c r="BQ54" s="40" t="s">
        <v>162</v>
      </c>
    </row>
    <row r="55" spans="1:69" ht="30" x14ac:dyDescent="0.25">
      <c r="A55" s="65" t="s">
        <v>163</v>
      </c>
      <c r="B55" s="41"/>
      <c r="C55" s="41"/>
      <c r="D55" s="41"/>
      <c r="E55" s="41"/>
      <c r="F55" s="41"/>
      <c r="G55" s="41"/>
      <c r="H55" s="41"/>
      <c r="I55" s="41"/>
      <c r="J55" s="41">
        <v>8437</v>
      </c>
      <c r="K55" s="41">
        <v>40985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>
        <v>826</v>
      </c>
      <c r="Z55" s="41"/>
      <c r="AA55" s="41"/>
      <c r="AB55" s="18">
        <v>49998</v>
      </c>
      <c r="AC55" s="18">
        <v>212194</v>
      </c>
      <c r="AD55" s="18">
        <v>116270</v>
      </c>
      <c r="AE55" s="18">
        <v>670307</v>
      </c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>
        <v>142302.86049875291</v>
      </c>
      <c r="AQ55" s="41">
        <v>550430.39290547092</v>
      </c>
      <c r="AR55" s="41">
        <v>328985</v>
      </c>
      <c r="AS55" s="41">
        <v>1256430</v>
      </c>
      <c r="AT55" s="41">
        <v>234706</v>
      </c>
      <c r="AU55" s="41">
        <v>881188</v>
      </c>
      <c r="AV55" s="41"/>
      <c r="AW55" s="41"/>
      <c r="AX55" s="41">
        <v>20010</v>
      </c>
      <c r="AY55" s="41">
        <v>80686</v>
      </c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>
        <v>9614</v>
      </c>
      <c r="BK55" s="41">
        <v>37175</v>
      </c>
      <c r="BL55" s="41">
        <v>142268</v>
      </c>
      <c r="BM55" s="41">
        <v>369950</v>
      </c>
      <c r="BN55" s="41">
        <v>4</v>
      </c>
      <c r="BO55" s="41">
        <v>4</v>
      </c>
      <c r="BP55" s="41">
        <f>B55+D55+F55+H55+J55+L55+N55+P55+R55+T55+V55+X55+Z55+AB55+AD55+AF55+AH55+AJ55+AL55+AN55+AP55+AR55+AT55+AV55+AX55+AZ55+BB55+BD55+BF55+BH55+BJ55+BL55+BN55</f>
        <v>1052594.8604987529</v>
      </c>
      <c r="BQ55" s="41">
        <f>C55+E55+G55+I55+K55+M55+O55+Q55+S55+U55+W55+Y55+AA55+AC55+AD62+AG55+AI55+AK55+AM55+AO55+AQ55+AS55+AU55+AW55+AY55+BA55+BC55+BE55+BG55+BI55+BK55+BM55+BO55</f>
        <v>10370554.39290547</v>
      </c>
    </row>
    <row r="56" spans="1:69" x14ac:dyDescent="0.25">
      <c r="A56" s="65" t="s">
        <v>164</v>
      </c>
      <c r="B56" s="41"/>
      <c r="C56" s="41"/>
      <c r="D56" s="41"/>
      <c r="E56" s="41"/>
      <c r="F56" s="41"/>
      <c r="G56" s="41"/>
      <c r="H56" s="41"/>
      <c r="I56" s="41"/>
      <c r="J56" s="41">
        <v>64</v>
      </c>
      <c r="K56" s="41">
        <v>1772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>
        <v>11</v>
      </c>
      <c r="Z56" s="41"/>
      <c r="AA56" s="41"/>
      <c r="AB56" s="18">
        <v>567</v>
      </c>
      <c r="AC56" s="18">
        <v>77299</v>
      </c>
      <c r="AD56" s="18">
        <v>17199</v>
      </c>
      <c r="AE56" s="18">
        <v>276069</v>
      </c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>
        <v>105636.60160467291</v>
      </c>
      <c r="AQ56" s="41">
        <v>175105.46401139093</v>
      </c>
      <c r="AR56" s="41">
        <v>286847</v>
      </c>
      <c r="AS56" s="41">
        <v>986238</v>
      </c>
      <c r="AT56" s="41">
        <v>98017</v>
      </c>
      <c r="AU56" s="41">
        <v>226332</v>
      </c>
      <c r="AV56" s="41"/>
      <c r="AW56" s="41"/>
      <c r="AX56" s="41">
        <v>70</v>
      </c>
      <c r="AY56" s="41">
        <v>1135</v>
      </c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>
        <v>2934</v>
      </c>
      <c r="BK56" s="41">
        <v>2954</v>
      </c>
      <c r="BL56" s="41">
        <v>72080</v>
      </c>
      <c r="BM56" s="41">
        <v>83457</v>
      </c>
      <c r="BN56" s="41"/>
      <c r="BO56" s="41"/>
      <c r="BP56" s="41">
        <f>B56+D56+F56+H56+J56+L56+N56+P56+R56+T56+V56+X56+Z56+AB56+AD56+AF56+AH56+AJ56+AL56+AN56+AP56+AS55+AU55+AV56+AX56+AZ56+BB56+BD56+BF56+BH56+BJ56+BL56+BN56</f>
        <v>2336168.6016046731</v>
      </c>
      <c r="BQ56" s="41">
        <f>C56+E56+G56+I56+K56+M56+O56+Q56+S56+U56+W56+Y56+AA56+AC56+AD63+AG56+AI56+AK56+AM56+AO56+AQ56+AS56+AU56+AW56+AY56+BA56+BC56+BE56+BG56+BI56+BK56+BM56+BO56</f>
        <v>3760584.4640113907</v>
      </c>
    </row>
    <row r="57" spans="1:69" x14ac:dyDescent="0.25">
      <c r="A57" s="65" t="s">
        <v>165</v>
      </c>
      <c r="B57" s="41"/>
      <c r="C57" s="41"/>
      <c r="D57" s="41"/>
      <c r="E57" s="41"/>
      <c r="F57" s="41"/>
      <c r="G57" s="41"/>
      <c r="H57" s="41"/>
      <c r="I57" s="41"/>
      <c r="J57" s="41">
        <v>347</v>
      </c>
      <c r="K57" s="41">
        <v>1702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>
        <v>14</v>
      </c>
      <c r="Y57" s="41">
        <v>840</v>
      </c>
      <c r="Z57" s="41"/>
      <c r="AA57" s="41"/>
      <c r="AB57" s="18">
        <v>3144</v>
      </c>
      <c r="AC57" s="18">
        <v>133874</v>
      </c>
      <c r="AD57" s="18">
        <v>-981</v>
      </c>
      <c r="AE57" s="18">
        <v>339557</v>
      </c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>
        <v>49782.724604672898</v>
      </c>
      <c r="AQ57" s="41">
        <v>108263.06901139092</v>
      </c>
      <c r="AR57" s="41">
        <v>336896</v>
      </c>
      <c r="AS57" s="41">
        <v>892976</v>
      </c>
      <c r="AT57" s="41">
        <v>93293</v>
      </c>
      <c r="AU57" s="41">
        <v>211537</v>
      </c>
      <c r="AV57" s="41"/>
      <c r="AW57" s="41"/>
      <c r="AX57" s="41">
        <v>271</v>
      </c>
      <c r="AY57" s="41">
        <v>1184</v>
      </c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>
        <v>2943</v>
      </c>
      <c r="BK57" s="41">
        <v>2981</v>
      </c>
      <c r="BL57" s="41">
        <v>39217</v>
      </c>
      <c r="BM57" s="41">
        <v>70699</v>
      </c>
      <c r="BN57" s="41"/>
      <c r="BO57" s="41"/>
      <c r="BP57" s="41">
        <f>B57+D57+F57+H57+J57+L57+N57+P57+R57+T57+V57+X57+Z57+AB57+AD57+AF57+AH57+AJ57+AM56+AN57+AP57+AS56+AU56+AV57+AX57+AZ57+BB57+BD57+BF57+BH57+BJ57+BL57+BN57</f>
        <v>1307307.7246046728</v>
      </c>
      <c r="BQ57" s="41">
        <f>C57+E57+G57+I57+K57+M57+O57+Q57+S57+U57+W57+Y57+AA57+AC57+AD64+AG57+AI57+AK57+AM57+AO57+AQ57+AS57+AU57+AW57+AY57+BA57+BC57+BE57+BG57+BI57+BK57+BM57+BO57</f>
        <v>3790331.0690113911</v>
      </c>
    </row>
    <row r="58" spans="1:69" x14ac:dyDescent="0.25">
      <c r="A58" s="76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S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</row>
    <row r="59" spans="1:69" x14ac:dyDescent="0.25">
      <c r="A59" s="63" t="s">
        <v>131</v>
      </c>
    </row>
    <row r="60" spans="1:69" s="12" customFormat="1" x14ac:dyDescent="0.25">
      <c r="A60" s="20" t="s">
        <v>0</v>
      </c>
      <c r="B60" s="160" t="s">
        <v>1</v>
      </c>
      <c r="C60" s="160"/>
      <c r="D60" s="160" t="s">
        <v>2</v>
      </c>
      <c r="E60" s="160"/>
      <c r="F60" s="160" t="s">
        <v>3</v>
      </c>
      <c r="G60" s="160"/>
      <c r="H60" s="160" t="s">
        <v>4</v>
      </c>
      <c r="I60" s="160"/>
      <c r="J60" s="160">
        <v>16931836</v>
      </c>
      <c r="K60" s="160"/>
      <c r="L60" s="160" t="s">
        <v>6</v>
      </c>
      <c r="M60" s="160"/>
      <c r="N60" s="160" t="s">
        <v>7</v>
      </c>
      <c r="O60" s="160"/>
      <c r="P60" s="160" t="s">
        <v>8</v>
      </c>
      <c r="Q60" s="160"/>
      <c r="R60" s="160" t="s">
        <v>9</v>
      </c>
      <c r="S60" s="160"/>
      <c r="T60" s="160" t="s">
        <v>10</v>
      </c>
      <c r="U60" s="160"/>
      <c r="V60" s="160" t="s">
        <v>11</v>
      </c>
      <c r="W60" s="160"/>
      <c r="X60" s="160" t="s">
        <v>12</v>
      </c>
      <c r="Y60" s="160"/>
      <c r="Z60" s="160" t="s">
        <v>13</v>
      </c>
      <c r="AA60" s="160"/>
      <c r="AB60" s="160" t="s">
        <v>14</v>
      </c>
      <c r="AC60" s="160"/>
      <c r="AD60" s="160" t="s">
        <v>15</v>
      </c>
      <c r="AE60" s="160"/>
      <c r="AF60" s="160" t="s">
        <v>16</v>
      </c>
      <c r="AG60" s="160"/>
      <c r="AH60" s="160" t="s">
        <v>17</v>
      </c>
      <c r="AI60" s="160"/>
      <c r="AJ60" s="160" t="s">
        <v>18</v>
      </c>
      <c r="AK60" s="160"/>
      <c r="AL60" s="160" t="s">
        <v>19</v>
      </c>
      <c r="AM60" s="160"/>
      <c r="AN60" s="160" t="s">
        <v>20</v>
      </c>
      <c r="AO60" s="160"/>
      <c r="AP60" s="160" t="s">
        <v>21</v>
      </c>
      <c r="AQ60" s="160"/>
      <c r="AR60" s="160" t="s">
        <v>109</v>
      </c>
      <c r="AS60" s="160"/>
      <c r="AT60" s="160" t="s">
        <v>110</v>
      </c>
      <c r="AU60" s="160"/>
      <c r="AV60" s="160" t="s">
        <v>22</v>
      </c>
      <c r="AW60" s="160"/>
      <c r="AX60" s="160" t="s">
        <v>23</v>
      </c>
      <c r="AY60" s="160"/>
      <c r="AZ60" s="160" t="s">
        <v>24</v>
      </c>
      <c r="BA60" s="160"/>
      <c r="BB60" s="160" t="s">
        <v>25</v>
      </c>
      <c r="BC60" s="160"/>
      <c r="BD60" s="160" t="s">
        <v>26</v>
      </c>
      <c r="BE60" s="160"/>
      <c r="BF60" s="160" t="s">
        <v>27</v>
      </c>
      <c r="BG60" s="160"/>
      <c r="BH60" s="160" t="s">
        <v>28</v>
      </c>
      <c r="BI60" s="160"/>
      <c r="BJ60" s="160" t="s">
        <v>29</v>
      </c>
      <c r="BK60" s="160"/>
      <c r="BL60" s="160" t="s">
        <v>30</v>
      </c>
      <c r="BM60" s="160"/>
      <c r="BN60" s="160" t="s">
        <v>31</v>
      </c>
      <c r="BO60" s="160"/>
      <c r="BP60" s="160" t="s">
        <v>150</v>
      </c>
      <c r="BQ60" s="160"/>
    </row>
    <row r="61" spans="1:69" s="39" customFormat="1" ht="44.25" customHeight="1" x14ac:dyDescent="0.25">
      <c r="A61" s="40"/>
      <c r="B61" s="40" t="s">
        <v>161</v>
      </c>
      <c r="C61" s="40" t="s">
        <v>162</v>
      </c>
      <c r="D61" s="40" t="s">
        <v>161</v>
      </c>
      <c r="E61" s="40" t="s">
        <v>162</v>
      </c>
      <c r="F61" s="40" t="s">
        <v>161</v>
      </c>
      <c r="G61" s="40" t="s">
        <v>162</v>
      </c>
      <c r="H61" s="40" t="s">
        <v>161</v>
      </c>
      <c r="I61" s="40" t="s">
        <v>162</v>
      </c>
      <c r="J61" s="40" t="s">
        <v>161</v>
      </c>
      <c r="K61" s="40" t="s">
        <v>162</v>
      </c>
      <c r="L61" s="40" t="s">
        <v>161</v>
      </c>
      <c r="M61" s="40" t="s">
        <v>162</v>
      </c>
      <c r="N61" s="40" t="s">
        <v>161</v>
      </c>
      <c r="O61" s="40" t="s">
        <v>162</v>
      </c>
      <c r="P61" s="40" t="s">
        <v>161</v>
      </c>
      <c r="Q61" s="40" t="s">
        <v>162</v>
      </c>
      <c r="R61" s="40" t="s">
        <v>161</v>
      </c>
      <c r="S61" s="40" t="s">
        <v>162</v>
      </c>
      <c r="T61" s="40" t="s">
        <v>161</v>
      </c>
      <c r="U61" s="40" t="s">
        <v>162</v>
      </c>
      <c r="V61" s="40" t="s">
        <v>161</v>
      </c>
      <c r="W61" s="40" t="s">
        <v>162</v>
      </c>
      <c r="X61" s="40" t="s">
        <v>161</v>
      </c>
      <c r="Y61" s="40" t="s">
        <v>162</v>
      </c>
      <c r="Z61" s="40" t="s">
        <v>161</v>
      </c>
      <c r="AA61" s="40" t="s">
        <v>162</v>
      </c>
      <c r="AB61" s="40" t="s">
        <v>161</v>
      </c>
      <c r="AC61" s="40" t="s">
        <v>162</v>
      </c>
      <c r="AD61" s="40" t="s">
        <v>161</v>
      </c>
      <c r="AE61" s="40" t="s">
        <v>162</v>
      </c>
      <c r="AF61" s="40" t="s">
        <v>161</v>
      </c>
      <c r="AG61" s="40" t="s">
        <v>162</v>
      </c>
      <c r="AH61" s="40" t="s">
        <v>161</v>
      </c>
      <c r="AI61" s="40" t="s">
        <v>162</v>
      </c>
      <c r="AJ61" s="40" t="s">
        <v>161</v>
      </c>
      <c r="AK61" s="40" t="s">
        <v>162</v>
      </c>
      <c r="AL61" s="40" t="s">
        <v>161</v>
      </c>
      <c r="AM61" s="40" t="s">
        <v>162</v>
      </c>
      <c r="AN61" s="40" t="s">
        <v>161</v>
      </c>
      <c r="AO61" s="40" t="s">
        <v>162</v>
      </c>
      <c r="AP61" s="40" t="s">
        <v>161</v>
      </c>
      <c r="AQ61" s="40" t="s">
        <v>162</v>
      </c>
      <c r="AR61" s="40" t="s">
        <v>161</v>
      </c>
      <c r="AS61" s="40" t="s">
        <v>162</v>
      </c>
      <c r="AT61" s="40" t="s">
        <v>161</v>
      </c>
      <c r="AU61" s="40" t="s">
        <v>162</v>
      </c>
      <c r="AV61" s="40" t="s">
        <v>161</v>
      </c>
      <c r="AW61" s="40" t="s">
        <v>162</v>
      </c>
      <c r="AX61" s="40" t="s">
        <v>161</v>
      </c>
      <c r="AY61" s="40" t="s">
        <v>162</v>
      </c>
      <c r="AZ61" s="40" t="s">
        <v>161</v>
      </c>
      <c r="BA61" s="40" t="s">
        <v>162</v>
      </c>
      <c r="BB61" s="40" t="s">
        <v>161</v>
      </c>
      <c r="BC61" s="40" t="s">
        <v>162</v>
      </c>
      <c r="BD61" s="40" t="s">
        <v>161</v>
      </c>
      <c r="BE61" s="40" t="s">
        <v>162</v>
      </c>
      <c r="BF61" s="40" t="s">
        <v>161</v>
      </c>
      <c r="BG61" s="40" t="s">
        <v>162</v>
      </c>
      <c r="BH61" s="40" t="s">
        <v>161</v>
      </c>
      <c r="BI61" s="40" t="s">
        <v>162</v>
      </c>
      <c r="BJ61" s="40" t="s">
        <v>161</v>
      </c>
      <c r="BK61" s="40" t="s">
        <v>162</v>
      </c>
      <c r="BL61" s="40" t="s">
        <v>161</v>
      </c>
      <c r="BM61" s="40" t="s">
        <v>162</v>
      </c>
      <c r="BN61" s="40" t="s">
        <v>161</v>
      </c>
      <c r="BO61" s="40" t="s">
        <v>162</v>
      </c>
      <c r="BP61" s="40" t="s">
        <v>161</v>
      </c>
      <c r="BQ61" s="40" t="s">
        <v>162</v>
      </c>
    </row>
    <row r="62" spans="1:69" ht="30" x14ac:dyDescent="0.25">
      <c r="A62" s="65" t="s">
        <v>163</v>
      </c>
      <c r="B62" s="41">
        <f>B69-B41-B34-B27-B20-B13-B6-B48-B55</f>
        <v>-9.0949470177292824E-13</v>
      </c>
      <c r="C62" s="41">
        <f>C69-C41-C34-C27-C20-C13-C6-C48-C55</f>
        <v>0</v>
      </c>
      <c r="D62" s="41">
        <f>D69-D41-D34-D27-D20-D13-D6-D48-D55</f>
        <v>0</v>
      </c>
      <c r="E62" s="41">
        <f>E69-E41-E34-E27-E20-E13-E6-E48-E55</f>
        <v>0</v>
      </c>
      <c r="F62" s="41"/>
      <c r="G62" s="41"/>
      <c r="H62" s="41">
        <f t="shared" ref="H62:BO64" si="0">H69-H41-H34-H27-H20-H13-H6-H48-H55</f>
        <v>40909</v>
      </c>
      <c r="I62" s="41">
        <f t="shared" si="0"/>
        <v>200690</v>
      </c>
      <c r="J62" s="41">
        <f t="shared" si="0"/>
        <v>7487597</v>
      </c>
      <c r="K62" s="41">
        <f t="shared" si="0"/>
        <v>24833617</v>
      </c>
      <c r="L62" s="41">
        <f t="shared" si="0"/>
        <v>1300219</v>
      </c>
      <c r="M62" s="41">
        <f t="shared" si="0"/>
        <v>3981666</v>
      </c>
      <c r="N62" s="41">
        <f>N69-N41-N34-N27-N20-N13-N6-N48-N55</f>
        <v>-54365</v>
      </c>
      <c r="O62" s="41">
        <f>O69-O41-N34-O27-O20-O13-O6-O48-O55</f>
        <v>7512240</v>
      </c>
      <c r="P62" s="41">
        <f t="shared" si="0"/>
        <v>0</v>
      </c>
      <c r="Q62" s="41">
        <f t="shared" si="0"/>
        <v>0</v>
      </c>
      <c r="R62" s="41">
        <f t="shared" si="0"/>
        <v>0</v>
      </c>
      <c r="S62" s="41">
        <f t="shared" si="0"/>
        <v>0</v>
      </c>
      <c r="T62" s="41">
        <f t="shared" si="0"/>
        <v>0</v>
      </c>
      <c r="U62" s="41">
        <f t="shared" si="0"/>
        <v>0</v>
      </c>
      <c r="V62" s="41">
        <f t="shared" si="0"/>
        <v>3616471.9</v>
      </c>
      <c r="W62" s="41">
        <f t="shared" si="0"/>
        <v>12404170.699999999</v>
      </c>
      <c r="X62" s="41">
        <f t="shared" si="0"/>
        <v>448793</v>
      </c>
      <c r="Y62" s="41">
        <f t="shared" si="0"/>
        <v>1716854</v>
      </c>
      <c r="Z62" s="41">
        <f t="shared" si="0"/>
        <v>6273</v>
      </c>
      <c r="AA62" s="41">
        <f t="shared" si="0"/>
        <v>6273</v>
      </c>
      <c r="AB62" s="41">
        <f t="shared" si="0"/>
        <v>4492458</v>
      </c>
      <c r="AC62" s="41">
        <f t="shared" si="0"/>
        <v>24317362</v>
      </c>
      <c r="AD62" s="41">
        <f t="shared" si="0"/>
        <v>6940686</v>
      </c>
      <c r="AE62" s="41">
        <f t="shared" si="0"/>
        <v>31768931</v>
      </c>
      <c r="AF62" s="41">
        <f t="shared" si="0"/>
        <v>18694396</v>
      </c>
      <c r="AG62" s="41">
        <f t="shared" si="0"/>
        <v>52110410</v>
      </c>
      <c r="AH62" s="41">
        <f t="shared" si="0"/>
        <v>17938</v>
      </c>
      <c r="AI62" s="41">
        <f t="shared" si="0"/>
        <v>50180</v>
      </c>
      <c r="AJ62" s="41">
        <f t="shared" si="0"/>
        <v>119299</v>
      </c>
      <c r="AK62" s="41">
        <f t="shared" si="0"/>
        <v>370810</v>
      </c>
      <c r="AL62" s="41">
        <f t="shared" si="0"/>
        <v>12591</v>
      </c>
      <c r="AM62" s="41">
        <f t="shared" si="0"/>
        <v>41190</v>
      </c>
      <c r="AN62" s="41">
        <f t="shared" si="0"/>
        <v>0</v>
      </c>
      <c r="AO62" s="41">
        <f t="shared" si="0"/>
        <v>0</v>
      </c>
      <c r="AP62" s="41">
        <f t="shared" si="0"/>
        <v>5023739.7574180048</v>
      </c>
      <c r="AQ62" s="41">
        <f t="shared" si="0"/>
        <v>20765981.17962404</v>
      </c>
      <c r="AR62" s="41">
        <f t="shared" si="0"/>
        <v>5279728</v>
      </c>
      <c r="AS62" s="41">
        <f t="shared" si="0"/>
        <v>27087833</v>
      </c>
      <c r="AT62" s="41">
        <f t="shared" si="0"/>
        <v>2356253</v>
      </c>
      <c r="AU62" s="41">
        <f t="shared" si="0"/>
        <v>13677574</v>
      </c>
      <c r="AV62" s="41">
        <f t="shared" ref="AV62:AW64" si="1">AV69-AV41-AV34-AV27-AV20-AV13-AV6-AV48-AV55</f>
        <v>9082</v>
      </c>
      <c r="AW62" s="41">
        <f t="shared" si="1"/>
        <v>282350</v>
      </c>
      <c r="AX62" s="41">
        <f t="shared" si="0"/>
        <v>1633161</v>
      </c>
      <c r="AY62" s="41">
        <f t="shared" si="0"/>
        <v>12293698</v>
      </c>
      <c r="AZ62" s="41">
        <f t="shared" ref="AZ62:BA64" si="2">AZ69-AZ41-AZ34-AZ27-AZ20-AZ13-AZ6-AZ48-AZ55</f>
        <v>105228</v>
      </c>
      <c r="BA62" s="41">
        <f t="shared" si="2"/>
        <v>561888</v>
      </c>
      <c r="BB62" s="41">
        <f t="shared" si="0"/>
        <v>30588</v>
      </c>
      <c r="BC62" s="41">
        <f t="shared" si="0"/>
        <v>167185</v>
      </c>
      <c r="BD62" s="41">
        <f t="shared" si="0"/>
        <v>1188328</v>
      </c>
      <c r="BE62" s="41">
        <f t="shared" si="0"/>
        <v>-226132</v>
      </c>
      <c r="BF62" s="41">
        <f t="shared" si="0"/>
        <v>-201421</v>
      </c>
      <c r="BG62" s="41">
        <f t="shared" si="0"/>
        <v>-80894</v>
      </c>
      <c r="BH62" s="41"/>
      <c r="BI62" s="41"/>
      <c r="BJ62" s="41">
        <f t="shared" si="0"/>
        <v>1610624</v>
      </c>
      <c r="BK62" s="41">
        <f t="shared" si="0"/>
        <v>5468535</v>
      </c>
      <c r="BL62" s="41">
        <f t="shared" si="0"/>
        <v>12060546</v>
      </c>
      <c r="BM62" s="41">
        <f t="shared" si="0"/>
        <v>92486531</v>
      </c>
      <c r="BN62" s="41">
        <f t="shared" si="0"/>
        <v>2973934</v>
      </c>
      <c r="BO62" s="41">
        <f t="shared" si="0"/>
        <v>19732720</v>
      </c>
      <c r="BP62" s="41">
        <f>B62+D62+F62+H62+J62+L62+N62+P62+R62+T62+V62+X62+Z62+AB62+AD62+AF62+AH62+AJ62+AL62+AN62+AP62+AR62+AT62+AV62+AX62+AZ62+BB62+BD62+BF62+BH62+BJ62+BL62+BN62</f>
        <v>75193056.657418013</v>
      </c>
      <c r="BQ62" s="41">
        <f>C62+E62+G62+I62+K62+M62+O62+Q62+S62+U62+W62+Y62+AA62+AC62+AD69+AG62+AI62+AK62+AM62+AO62+AQ62+AS62+AU62+AW62+AY62+BA62+BC62+BE62+BG62+BI62+BK62+BM62+BO62</f>
        <v>349022595.87962401</v>
      </c>
    </row>
    <row r="63" spans="1:69" x14ac:dyDescent="0.25">
      <c r="A63" s="65" t="s">
        <v>164</v>
      </c>
      <c r="B63" s="41">
        <f t="shared" ref="B63:E63" si="3">B70-B42-B35-B28-B21-B14-B7-B49-B56</f>
        <v>0</v>
      </c>
      <c r="C63" s="41">
        <f t="shared" si="3"/>
        <v>0</v>
      </c>
      <c r="D63" s="41">
        <f t="shared" si="3"/>
        <v>0</v>
      </c>
      <c r="E63" s="41">
        <f t="shared" si="3"/>
        <v>0</v>
      </c>
      <c r="F63" s="41"/>
      <c r="G63" s="41"/>
      <c r="H63" s="41">
        <f t="shared" si="0"/>
        <v>37769</v>
      </c>
      <c r="I63" s="41">
        <f t="shared" si="0"/>
        <v>181401</v>
      </c>
      <c r="J63" s="41">
        <f t="shared" si="0"/>
        <v>2593130</v>
      </c>
      <c r="K63" s="41">
        <f t="shared" si="0"/>
        <v>8409504</v>
      </c>
      <c r="L63" s="41">
        <f t="shared" si="0"/>
        <v>209057</v>
      </c>
      <c r="M63" s="41">
        <f t="shared" si="0"/>
        <v>721232</v>
      </c>
      <c r="N63" s="41">
        <f t="shared" si="0"/>
        <v>163449</v>
      </c>
      <c r="O63" s="41">
        <f t="shared" si="0"/>
        <v>1141298</v>
      </c>
      <c r="P63" s="41">
        <f t="shared" si="0"/>
        <v>0</v>
      </c>
      <c r="Q63" s="41">
        <f t="shared" si="0"/>
        <v>0</v>
      </c>
      <c r="R63" s="41">
        <f t="shared" si="0"/>
        <v>0</v>
      </c>
      <c r="S63" s="41">
        <f t="shared" si="0"/>
        <v>0</v>
      </c>
      <c r="T63" s="41">
        <f t="shared" si="0"/>
        <v>0</v>
      </c>
      <c r="U63" s="41">
        <f t="shared" si="0"/>
        <v>0</v>
      </c>
      <c r="V63" s="41">
        <f t="shared" si="0"/>
        <v>2611497.12</v>
      </c>
      <c r="W63" s="41">
        <f t="shared" si="0"/>
        <v>8388248.9500000002</v>
      </c>
      <c r="X63" s="41">
        <f t="shared" si="0"/>
        <v>499214</v>
      </c>
      <c r="Y63" s="41">
        <f t="shared" si="0"/>
        <v>1369513</v>
      </c>
      <c r="Z63" s="41">
        <f t="shared" si="0"/>
        <v>3515</v>
      </c>
      <c r="AA63" s="41">
        <f t="shared" si="0"/>
        <v>3516</v>
      </c>
      <c r="AB63" s="41">
        <f t="shared" si="0"/>
        <v>992442</v>
      </c>
      <c r="AC63" s="41">
        <f t="shared" si="0"/>
        <v>5089064</v>
      </c>
      <c r="AD63" s="41">
        <f t="shared" si="0"/>
        <v>2206281</v>
      </c>
      <c r="AE63" s="41">
        <f t="shared" si="0"/>
        <v>10589686</v>
      </c>
      <c r="AF63" s="41">
        <f t="shared" si="0"/>
        <v>11498290</v>
      </c>
      <c r="AG63" s="41">
        <f t="shared" si="0"/>
        <v>35473507</v>
      </c>
      <c r="AH63" s="41">
        <f t="shared" si="0"/>
        <v>6464</v>
      </c>
      <c r="AI63" s="41">
        <f t="shared" si="0"/>
        <v>20155</v>
      </c>
      <c r="AJ63" s="41">
        <f t="shared" si="0"/>
        <v>83224</v>
      </c>
      <c r="AK63" s="41">
        <f t="shared" si="0"/>
        <v>235722</v>
      </c>
      <c r="AL63" s="41">
        <f t="shared" si="0"/>
        <v>6226</v>
      </c>
      <c r="AM63" s="41">
        <f t="shared" si="0"/>
        <v>24124</v>
      </c>
      <c r="AN63" s="41">
        <f t="shared" si="0"/>
        <v>0</v>
      </c>
      <c r="AO63" s="41">
        <f t="shared" si="0"/>
        <v>0</v>
      </c>
      <c r="AP63" s="41">
        <f t="shared" si="0"/>
        <v>3036533.4299874408</v>
      </c>
      <c r="AQ63" s="41">
        <f t="shared" si="0"/>
        <v>11240603.93685331</v>
      </c>
      <c r="AR63" s="41">
        <f t="shared" si="0"/>
        <v>2161348</v>
      </c>
      <c r="AS63" s="41">
        <f t="shared" si="0"/>
        <v>12178194</v>
      </c>
      <c r="AT63" s="41">
        <f t="shared" si="0"/>
        <v>2115017</v>
      </c>
      <c r="AU63" s="41">
        <f t="shared" si="0"/>
        <v>7647902</v>
      </c>
      <c r="AV63" s="41">
        <f t="shared" si="1"/>
        <v>1595</v>
      </c>
      <c r="AW63" s="41">
        <f t="shared" si="1"/>
        <v>271759</v>
      </c>
      <c r="AX63" s="41">
        <f t="shared" si="0"/>
        <v>397045</v>
      </c>
      <c r="AY63" s="41">
        <f t="shared" si="0"/>
        <v>3447985</v>
      </c>
      <c r="AZ63" s="41">
        <f t="shared" si="2"/>
        <v>86195</v>
      </c>
      <c r="BA63" s="41">
        <f t="shared" si="2"/>
        <v>452429</v>
      </c>
      <c r="BB63" s="41">
        <f t="shared" si="0"/>
        <v>24366</v>
      </c>
      <c r="BC63" s="41">
        <f t="shared" si="0"/>
        <v>100870</v>
      </c>
      <c r="BD63" s="41">
        <f t="shared" si="0"/>
        <v>391587</v>
      </c>
      <c r="BE63" s="41">
        <f t="shared" si="0"/>
        <v>4039193</v>
      </c>
      <c r="BF63" s="41">
        <f t="shared" si="0"/>
        <v>13565</v>
      </c>
      <c r="BG63" s="41">
        <f t="shared" si="0"/>
        <v>97165</v>
      </c>
      <c r="BH63" s="41"/>
      <c r="BI63" s="41"/>
      <c r="BJ63" s="41">
        <f t="shared" si="0"/>
        <v>425487</v>
      </c>
      <c r="BK63" s="41">
        <f t="shared" si="0"/>
        <v>27774084</v>
      </c>
      <c r="BL63" s="41">
        <f t="shared" si="0"/>
        <v>4202224</v>
      </c>
      <c r="BM63" s="41">
        <f t="shared" si="0"/>
        <v>65854140</v>
      </c>
      <c r="BN63" s="41">
        <f t="shared" si="0"/>
        <v>-86594</v>
      </c>
      <c r="BO63" s="41">
        <f t="shared" si="0"/>
        <v>11574512</v>
      </c>
      <c r="BP63" s="41">
        <f>B63+D63+F63+H63+J63+L63+N63+P63+R63+T63+V63+X63+Z63+AB63+AD63+AF63+AH63+AJ63+AL63+AN63+AP63+AS62+AU62+AV63+AX63+AZ63+BB63+BD63+BF63+BH63+BJ63+BL63+BN63</f>
        <v>70167968.549987435</v>
      </c>
      <c r="BQ63" s="41">
        <f>C63+E63+G63+I63+K63+M63+O63+Q63+S63+U63+W63+Y63+AA63+AC63+AD70+AG63+AI63+AK63+AM63+AO63+AQ63+AS63+AU63+AW63+AY63+BA63+BC63+BE63+BG63+BI63+BK63+BM63+BO63</f>
        <v>224810973.88685331</v>
      </c>
    </row>
    <row r="64" spans="1:69" x14ac:dyDescent="0.25">
      <c r="A64" s="65" t="s">
        <v>165</v>
      </c>
      <c r="B64" s="41">
        <f>B71-B43-B36-B29-B22-B15-B8-B50-B57</f>
        <v>0</v>
      </c>
      <c r="C64" s="41">
        <f>C71-C43-C36-C29-C22-C15-C8-C50-C57</f>
        <v>0</v>
      </c>
      <c r="D64" s="41">
        <f>D71-D43-D36-D29-D22-D15-D8-D50-D57</f>
        <v>0</v>
      </c>
      <c r="E64" s="41">
        <f>E71-E43-E36-E29-E22-E15-E8-E50-E57</f>
        <v>0</v>
      </c>
      <c r="F64" s="41"/>
      <c r="G64" s="41"/>
      <c r="H64" s="41">
        <f t="shared" si="0"/>
        <v>36758</v>
      </c>
      <c r="I64" s="41">
        <f t="shared" si="0"/>
        <v>176667</v>
      </c>
      <c r="J64" s="41">
        <f t="shared" si="0"/>
        <v>2407283</v>
      </c>
      <c r="K64" s="41">
        <f t="shared" si="0"/>
        <v>7634994</v>
      </c>
      <c r="L64" s="41">
        <f t="shared" si="0"/>
        <v>187581</v>
      </c>
      <c r="M64" s="41">
        <f t="shared" si="0"/>
        <v>648652</v>
      </c>
      <c r="N64" s="41">
        <f t="shared" si="0"/>
        <v>228004</v>
      </c>
      <c r="O64" s="41">
        <f t="shared" si="0"/>
        <v>1096677</v>
      </c>
      <c r="P64" s="41">
        <f t="shared" si="0"/>
        <v>-1</v>
      </c>
      <c r="Q64" s="41">
        <f t="shared" si="0"/>
        <v>0</v>
      </c>
      <c r="R64" s="41">
        <f t="shared" si="0"/>
        <v>0</v>
      </c>
      <c r="S64" s="41">
        <f t="shared" si="0"/>
        <v>0</v>
      </c>
      <c r="T64" s="41">
        <f t="shared" si="0"/>
        <v>0</v>
      </c>
      <c r="U64" s="41">
        <f t="shared" si="0"/>
        <v>0</v>
      </c>
      <c r="V64" s="41">
        <f t="shared" si="0"/>
        <v>2703516.65</v>
      </c>
      <c r="W64" s="41">
        <f t="shared" si="0"/>
        <v>8392370.1600000001</v>
      </c>
      <c r="X64" s="41">
        <f t="shared" si="0"/>
        <v>333595</v>
      </c>
      <c r="Y64" s="41">
        <f t="shared" si="0"/>
        <v>885758</v>
      </c>
      <c r="Z64" s="41">
        <f t="shared" si="0"/>
        <v>1071</v>
      </c>
      <c r="AA64" s="41">
        <f t="shared" si="0"/>
        <v>1072</v>
      </c>
      <c r="AB64" s="41">
        <f t="shared" si="0"/>
        <v>969246</v>
      </c>
      <c r="AC64" s="41">
        <f t="shared" si="0"/>
        <v>4646063</v>
      </c>
      <c r="AD64" s="41">
        <f t="shared" si="0"/>
        <v>2366275</v>
      </c>
      <c r="AE64" s="41">
        <f t="shared" si="0"/>
        <v>9604275</v>
      </c>
      <c r="AF64" s="41">
        <f t="shared" si="0"/>
        <v>8657466</v>
      </c>
      <c r="AG64" s="41">
        <f t="shared" si="0"/>
        <v>31305599</v>
      </c>
      <c r="AH64" s="41">
        <f t="shared" si="0"/>
        <v>-1013</v>
      </c>
      <c r="AI64" s="41">
        <f t="shared" si="0"/>
        <v>-2570</v>
      </c>
      <c r="AJ64" s="41">
        <f t="shared" si="0"/>
        <v>70008</v>
      </c>
      <c r="AK64" s="41">
        <f t="shared" si="0"/>
        <v>171902</v>
      </c>
      <c r="AL64" s="41">
        <f t="shared" si="0"/>
        <v>6548</v>
      </c>
      <c r="AM64" s="41">
        <f t="shared" si="0"/>
        <v>29682</v>
      </c>
      <c r="AN64" s="41">
        <f t="shared" si="0"/>
        <v>1</v>
      </c>
      <c r="AO64" s="41">
        <f t="shared" si="0"/>
        <v>0</v>
      </c>
      <c r="AP64" s="41">
        <f t="shared" si="0"/>
        <v>3058961.1349874437</v>
      </c>
      <c r="AQ64" s="41">
        <f t="shared" si="0"/>
        <v>11095053.708353298</v>
      </c>
      <c r="AR64" s="41">
        <f t="shared" si="0"/>
        <v>2249600</v>
      </c>
      <c r="AS64" s="41">
        <f t="shared" si="0"/>
        <v>11758478</v>
      </c>
      <c r="AT64" s="41">
        <f t="shared" si="0"/>
        <v>2025148</v>
      </c>
      <c r="AU64" s="41">
        <f t="shared" si="0"/>
        <v>7747869</v>
      </c>
      <c r="AV64" s="41">
        <f t="shared" si="1"/>
        <v>950</v>
      </c>
      <c r="AW64" s="41">
        <f t="shared" si="1"/>
        <v>261388</v>
      </c>
      <c r="AX64" s="41">
        <f t="shared" si="0"/>
        <v>339603</v>
      </c>
      <c r="AY64" s="41">
        <f t="shared" si="0"/>
        <v>3375029</v>
      </c>
      <c r="AZ64" s="41">
        <f t="shared" si="2"/>
        <v>77337</v>
      </c>
      <c r="BA64" s="41">
        <f t="shared" si="2"/>
        <v>416842</v>
      </c>
      <c r="BB64" s="41">
        <f t="shared" si="0"/>
        <v>30072</v>
      </c>
      <c r="BC64" s="41">
        <f t="shared" si="0"/>
        <v>109460</v>
      </c>
      <c r="BD64" s="41">
        <f t="shared" si="0"/>
        <v>296071</v>
      </c>
      <c r="BE64" s="41">
        <f t="shared" si="0"/>
        <v>-104112</v>
      </c>
      <c r="BF64" s="41">
        <f t="shared" si="0"/>
        <v>12901</v>
      </c>
      <c r="BG64" s="41">
        <f t="shared" si="0"/>
        <v>104908</v>
      </c>
      <c r="BH64" s="41"/>
      <c r="BI64" s="41"/>
      <c r="BJ64" s="41">
        <f t="shared" si="0"/>
        <v>423552</v>
      </c>
      <c r="BK64" s="41">
        <f t="shared" si="0"/>
        <v>24139846</v>
      </c>
      <c r="BL64" s="41">
        <f t="shared" si="0"/>
        <v>3583597</v>
      </c>
      <c r="BM64" s="41">
        <f t="shared" si="0"/>
        <v>66433897</v>
      </c>
      <c r="BN64" s="41">
        <f t="shared" si="0"/>
        <v>1283124</v>
      </c>
      <c r="BO64" s="41">
        <f>BO71-BO43-BO36-BO29-BO22-BO15-BO8-BO50-BO57</f>
        <v>9927821</v>
      </c>
      <c r="BP64" s="41">
        <f>B64+D64+F64+H64+J64+L64+N64+P64+R64+T64+V64+X64+Z64+AB64+AD64+AF64+AH64+AJ64+AM63+AN64+AP64+AS63+AU63+AV64+AX64+AZ64+BB64+BD64+BF64+BH64+BJ64+BL64+BN64</f>
        <v>46916178.784987442</v>
      </c>
      <c r="BQ64" s="41">
        <f>C64+E64+G64+I64+K64+M64+O64+Q64+S64+U64+W64+Y64+AA64+AC64+AD71+AG64+AI64+AK64+AM64+AO64+AQ64+AS64+AU64+AW64+AY64+BA64+BC64+BE64+BG64+BI64+BK64+BM64+BO64</f>
        <v>208419788.86835331</v>
      </c>
    </row>
    <row r="66" spans="1:69" s="64" customFormat="1" x14ac:dyDescent="0.25">
      <c r="A66" s="63" t="s">
        <v>60</v>
      </c>
    </row>
    <row r="67" spans="1:69" s="12" customFormat="1" x14ac:dyDescent="0.25">
      <c r="A67" s="20" t="s">
        <v>0</v>
      </c>
      <c r="B67" s="160" t="s">
        <v>1</v>
      </c>
      <c r="C67" s="160"/>
      <c r="D67" s="160" t="s">
        <v>2</v>
      </c>
      <c r="E67" s="160"/>
      <c r="F67" s="160" t="s">
        <v>3</v>
      </c>
      <c r="G67" s="160"/>
      <c r="H67" s="160" t="s">
        <v>4</v>
      </c>
      <c r="I67" s="160"/>
      <c r="J67" s="160" t="s">
        <v>5</v>
      </c>
      <c r="K67" s="160"/>
      <c r="L67" s="160" t="s">
        <v>6</v>
      </c>
      <c r="M67" s="160"/>
      <c r="N67" s="160" t="s">
        <v>7</v>
      </c>
      <c r="O67" s="160"/>
      <c r="P67" s="160" t="s">
        <v>8</v>
      </c>
      <c r="Q67" s="160"/>
      <c r="R67" s="160" t="s">
        <v>9</v>
      </c>
      <c r="S67" s="160"/>
      <c r="T67" s="160" t="s">
        <v>10</v>
      </c>
      <c r="U67" s="160"/>
      <c r="V67" s="160" t="s">
        <v>11</v>
      </c>
      <c r="W67" s="160"/>
      <c r="X67" s="160" t="s">
        <v>12</v>
      </c>
      <c r="Y67" s="160"/>
      <c r="Z67" s="160" t="s">
        <v>13</v>
      </c>
      <c r="AA67" s="160"/>
      <c r="AB67" s="160" t="s">
        <v>14</v>
      </c>
      <c r="AC67" s="160"/>
      <c r="AD67" s="160" t="s">
        <v>15</v>
      </c>
      <c r="AE67" s="160"/>
      <c r="AF67" s="160" t="s">
        <v>16</v>
      </c>
      <c r="AG67" s="160"/>
      <c r="AH67" s="160" t="s">
        <v>17</v>
      </c>
      <c r="AI67" s="160"/>
      <c r="AJ67" s="160" t="s">
        <v>18</v>
      </c>
      <c r="AK67" s="160"/>
      <c r="AL67" s="160" t="s">
        <v>19</v>
      </c>
      <c r="AM67" s="160"/>
      <c r="AN67" s="160" t="s">
        <v>20</v>
      </c>
      <c r="AO67" s="160"/>
      <c r="AP67" s="160" t="s">
        <v>21</v>
      </c>
      <c r="AQ67" s="160"/>
      <c r="AR67" s="160" t="s">
        <v>109</v>
      </c>
      <c r="AS67" s="160"/>
      <c r="AT67" s="160" t="s">
        <v>110</v>
      </c>
      <c r="AU67" s="160"/>
      <c r="AV67" s="160" t="s">
        <v>22</v>
      </c>
      <c r="AW67" s="160"/>
      <c r="AX67" s="160" t="s">
        <v>23</v>
      </c>
      <c r="AY67" s="160"/>
      <c r="AZ67" s="160" t="s">
        <v>24</v>
      </c>
      <c r="BA67" s="160"/>
      <c r="BB67" s="160" t="s">
        <v>25</v>
      </c>
      <c r="BC67" s="160"/>
      <c r="BD67" s="160" t="s">
        <v>26</v>
      </c>
      <c r="BE67" s="160"/>
      <c r="BF67" s="160" t="s">
        <v>27</v>
      </c>
      <c r="BG67" s="160"/>
      <c r="BH67" s="160" t="s">
        <v>28</v>
      </c>
      <c r="BI67" s="160"/>
      <c r="BJ67" s="160" t="s">
        <v>29</v>
      </c>
      <c r="BK67" s="160"/>
      <c r="BL67" s="160" t="s">
        <v>30</v>
      </c>
      <c r="BM67" s="160"/>
      <c r="BN67" s="160" t="s">
        <v>31</v>
      </c>
      <c r="BO67" s="160"/>
      <c r="BP67" s="160" t="s">
        <v>150</v>
      </c>
      <c r="BQ67" s="160"/>
    </row>
    <row r="68" spans="1:69" s="39" customFormat="1" ht="44.25" customHeight="1" x14ac:dyDescent="0.25">
      <c r="A68" s="40"/>
      <c r="B68" s="40" t="s">
        <v>161</v>
      </c>
      <c r="C68" s="40" t="s">
        <v>162</v>
      </c>
      <c r="D68" s="40" t="s">
        <v>161</v>
      </c>
      <c r="E68" s="40" t="s">
        <v>162</v>
      </c>
      <c r="F68" s="40" t="s">
        <v>161</v>
      </c>
      <c r="G68" s="40" t="s">
        <v>162</v>
      </c>
      <c r="H68" s="40" t="s">
        <v>161</v>
      </c>
      <c r="I68" s="40" t="s">
        <v>162</v>
      </c>
      <c r="J68" s="40" t="s">
        <v>161</v>
      </c>
      <c r="K68" s="40" t="s">
        <v>162</v>
      </c>
      <c r="L68" s="40" t="s">
        <v>161</v>
      </c>
      <c r="M68" s="40" t="s">
        <v>162</v>
      </c>
      <c r="N68" s="40" t="s">
        <v>161</v>
      </c>
      <c r="O68" s="40" t="s">
        <v>162</v>
      </c>
      <c r="P68" s="40" t="s">
        <v>161</v>
      </c>
      <c r="Q68" s="40" t="s">
        <v>162</v>
      </c>
      <c r="R68" s="40" t="s">
        <v>161</v>
      </c>
      <c r="S68" s="40" t="s">
        <v>162</v>
      </c>
      <c r="T68" s="40" t="s">
        <v>161</v>
      </c>
      <c r="U68" s="40" t="s">
        <v>162</v>
      </c>
      <c r="V68" s="40" t="s">
        <v>161</v>
      </c>
      <c r="W68" s="40" t="s">
        <v>162</v>
      </c>
      <c r="X68" s="40" t="s">
        <v>161</v>
      </c>
      <c r="Y68" s="40" t="s">
        <v>162</v>
      </c>
      <c r="Z68" s="40" t="s">
        <v>161</v>
      </c>
      <c r="AA68" s="40" t="s">
        <v>162</v>
      </c>
      <c r="AB68" s="40" t="s">
        <v>161</v>
      </c>
      <c r="AC68" s="40" t="s">
        <v>162</v>
      </c>
      <c r="AD68" s="40" t="s">
        <v>161</v>
      </c>
      <c r="AE68" s="40" t="s">
        <v>162</v>
      </c>
      <c r="AF68" s="40" t="s">
        <v>161</v>
      </c>
      <c r="AG68" s="40" t="s">
        <v>162</v>
      </c>
      <c r="AH68" s="40" t="s">
        <v>161</v>
      </c>
      <c r="AI68" s="40" t="s">
        <v>162</v>
      </c>
      <c r="AJ68" s="40" t="s">
        <v>161</v>
      </c>
      <c r="AK68" s="40" t="s">
        <v>162</v>
      </c>
      <c r="AL68" s="40" t="s">
        <v>161</v>
      </c>
      <c r="AM68" s="40" t="s">
        <v>162</v>
      </c>
      <c r="AN68" s="40" t="s">
        <v>161</v>
      </c>
      <c r="AO68" s="40" t="s">
        <v>162</v>
      </c>
      <c r="AP68" s="40" t="s">
        <v>161</v>
      </c>
      <c r="AQ68" s="40" t="s">
        <v>162</v>
      </c>
      <c r="AR68" s="40" t="s">
        <v>161</v>
      </c>
      <c r="AS68" s="40" t="s">
        <v>162</v>
      </c>
      <c r="AT68" s="40" t="s">
        <v>161</v>
      </c>
      <c r="AU68" s="40" t="s">
        <v>162</v>
      </c>
      <c r="AV68" s="40" t="s">
        <v>161</v>
      </c>
      <c r="AW68" s="40" t="s">
        <v>162</v>
      </c>
      <c r="AX68" s="40" t="s">
        <v>161</v>
      </c>
      <c r="AY68" s="40" t="s">
        <v>162</v>
      </c>
      <c r="AZ68" s="40" t="s">
        <v>161</v>
      </c>
      <c r="BA68" s="40" t="s">
        <v>162</v>
      </c>
      <c r="BB68" s="40" t="s">
        <v>161</v>
      </c>
      <c r="BC68" s="40" t="s">
        <v>162</v>
      </c>
      <c r="BD68" s="40" t="s">
        <v>161</v>
      </c>
      <c r="BE68" s="40" t="s">
        <v>162</v>
      </c>
      <c r="BF68" s="40" t="s">
        <v>161</v>
      </c>
      <c r="BG68" s="40" t="s">
        <v>162</v>
      </c>
      <c r="BH68" s="40" t="s">
        <v>161</v>
      </c>
      <c r="BI68" s="40" t="s">
        <v>162</v>
      </c>
      <c r="BJ68" s="40" t="s">
        <v>161</v>
      </c>
      <c r="BK68" s="40" t="s">
        <v>162</v>
      </c>
      <c r="BL68" s="40" t="s">
        <v>161</v>
      </c>
      <c r="BM68" s="40" t="s">
        <v>162</v>
      </c>
      <c r="BN68" s="40" t="s">
        <v>161</v>
      </c>
      <c r="BO68" s="40" t="s">
        <v>162</v>
      </c>
      <c r="BP68" s="40" t="s">
        <v>161</v>
      </c>
      <c r="BQ68" s="40" t="s">
        <v>162</v>
      </c>
    </row>
    <row r="69" spans="1:69" ht="30" x14ac:dyDescent="0.25">
      <c r="A69" s="65" t="s">
        <v>163</v>
      </c>
      <c r="B69" s="41">
        <v>8663.32</v>
      </c>
      <c r="C69" s="41">
        <v>9169.0030000000006</v>
      </c>
      <c r="D69" s="41">
        <v>710629</v>
      </c>
      <c r="E69" s="41">
        <v>2431676</v>
      </c>
      <c r="F69" s="41">
        <v>15303360</v>
      </c>
      <c r="G69" s="41">
        <v>78933901</v>
      </c>
      <c r="H69" s="41">
        <v>7245748</v>
      </c>
      <c r="I69" s="41">
        <v>17175095</v>
      </c>
      <c r="J69" s="78">
        <v>27529355</v>
      </c>
      <c r="K69" s="78">
        <v>94452179</v>
      </c>
      <c r="L69" s="41">
        <v>5030300</v>
      </c>
      <c r="M69" s="41">
        <v>17535810</v>
      </c>
      <c r="N69" s="41">
        <v>9592225</v>
      </c>
      <c r="O69" s="41">
        <v>41025677</v>
      </c>
      <c r="P69" s="41">
        <v>1134380</v>
      </c>
      <c r="Q69" s="41">
        <v>3464049</v>
      </c>
      <c r="R69" s="41">
        <v>984721</v>
      </c>
      <c r="S69" s="41">
        <v>1410744</v>
      </c>
      <c r="T69" s="18">
        <v>13029</v>
      </c>
      <c r="U69" s="18">
        <v>13029</v>
      </c>
      <c r="V69" s="18">
        <v>3616471.9</v>
      </c>
      <c r="W69" s="18">
        <v>12404170.699999999</v>
      </c>
      <c r="X69" s="41">
        <v>4979253</v>
      </c>
      <c r="Y69" s="41">
        <v>19063750</v>
      </c>
      <c r="Z69" s="41">
        <v>910815</v>
      </c>
      <c r="AA69" s="41">
        <v>937400</v>
      </c>
      <c r="AB69" s="18">
        <v>17991312</v>
      </c>
      <c r="AC69" s="18">
        <v>72899697</v>
      </c>
      <c r="AD69" s="18">
        <v>29259864</v>
      </c>
      <c r="AE69" s="18">
        <v>123568546</v>
      </c>
      <c r="AF69" s="41">
        <v>19579680</v>
      </c>
      <c r="AG69" s="41">
        <v>56318915</v>
      </c>
      <c r="AH69" s="18">
        <v>592160</v>
      </c>
      <c r="AI69" s="18">
        <v>1853915</v>
      </c>
      <c r="AJ69" s="41">
        <v>2293190</v>
      </c>
      <c r="AK69" s="41">
        <v>8165304</v>
      </c>
      <c r="AL69" s="41">
        <v>1814900</v>
      </c>
      <c r="AM69" s="41">
        <v>5266943</v>
      </c>
      <c r="AN69" s="41">
        <v>2492063</v>
      </c>
      <c r="AO69" s="41">
        <v>7544715</v>
      </c>
      <c r="AP69" s="41">
        <v>44382455.337299623</v>
      </c>
      <c r="AQ69" s="41">
        <v>162436775.7841641</v>
      </c>
      <c r="AR69" s="41">
        <v>68763798</v>
      </c>
      <c r="AS69" s="41">
        <v>251593099</v>
      </c>
      <c r="AT69" s="41">
        <v>31386843</v>
      </c>
      <c r="AU69" s="41">
        <v>117368385</v>
      </c>
      <c r="AV69" s="41">
        <v>306676</v>
      </c>
      <c r="AW69" s="41">
        <v>834506</v>
      </c>
      <c r="AX69" s="41">
        <v>10591935</v>
      </c>
      <c r="AY69" s="41">
        <v>50690787</v>
      </c>
      <c r="AZ69" s="41">
        <v>3588635</v>
      </c>
      <c r="BA69" s="41">
        <v>10916125</v>
      </c>
      <c r="BB69" s="79">
        <v>6934521</v>
      </c>
      <c r="BC69" s="79">
        <v>26234351</v>
      </c>
      <c r="BD69" s="41">
        <v>10293849</v>
      </c>
      <c r="BE69" s="41">
        <v>27365498</v>
      </c>
      <c r="BF69" s="41">
        <v>6159838</v>
      </c>
      <c r="BG69" s="41">
        <v>21007633</v>
      </c>
      <c r="BH69" s="41">
        <v>16729353</v>
      </c>
      <c r="BI69" s="41">
        <v>41611145</v>
      </c>
      <c r="BJ69" s="41">
        <v>14765826</v>
      </c>
      <c r="BK69" s="41">
        <v>54359161</v>
      </c>
      <c r="BL69" s="41">
        <v>53871287</v>
      </c>
      <c r="BM69" s="41">
        <v>174299507</v>
      </c>
      <c r="BN69" s="41">
        <v>10162957</v>
      </c>
      <c r="BO69" s="41">
        <v>23108631</v>
      </c>
      <c r="BP69" s="41">
        <f>B69+D69+F69+H69+J69+L69+N69+P69+R69+T69+V69+X69+Z69+AB69+AD69+AF69+AH69+AJ69+AL69+AN69+AP69+AR69+AT69+AV69+AX69+AZ69+BB69+BD69+BF69+BH69+BJ69+BL69+BN69</f>
        <v>429020092.55729961</v>
      </c>
      <c r="BQ69" s="41">
        <f>C69+E69+G69+I69+K69+M69+O69+Q69+S69+U69+W69+Y69+AA69+AC69+AD76+AG69+AI69+AK69+AM69+AO69+AQ69+AS69+AU69+AW69+AY69+BA69+BC69+BE69+BG69+BI69+BK69+BM69+BO69</f>
        <v>1402731742.487164</v>
      </c>
    </row>
    <row r="70" spans="1:69" x14ac:dyDescent="0.25">
      <c r="A70" s="65" t="s">
        <v>164</v>
      </c>
      <c r="B70" s="41">
        <v>3162.3789999999999</v>
      </c>
      <c r="C70" s="41">
        <v>3642.777</v>
      </c>
      <c r="D70" s="41">
        <v>665277</v>
      </c>
      <c r="E70" s="41">
        <v>2289776</v>
      </c>
      <c r="F70" s="41">
        <v>3387439</v>
      </c>
      <c r="G70" s="41">
        <v>17811292</v>
      </c>
      <c r="H70" s="41">
        <v>6753524</v>
      </c>
      <c r="I70" s="41">
        <v>14443546</v>
      </c>
      <c r="J70" s="78">
        <v>19553224</v>
      </c>
      <c r="K70" s="78">
        <v>67325358</v>
      </c>
      <c r="L70" s="41">
        <v>3413392</v>
      </c>
      <c r="M70" s="41">
        <v>12683281</v>
      </c>
      <c r="N70" s="41">
        <v>7949720</v>
      </c>
      <c r="O70" s="41">
        <v>31912631</v>
      </c>
      <c r="P70" s="41">
        <v>863204</v>
      </c>
      <c r="Q70" s="41">
        <v>2661391</v>
      </c>
      <c r="R70" s="41">
        <v>638807</v>
      </c>
      <c r="S70" s="41">
        <v>904717</v>
      </c>
      <c r="T70" s="18">
        <v>1772</v>
      </c>
      <c r="U70" s="18">
        <v>1772</v>
      </c>
      <c r="V70" s="18">
        <v>2611497.12</v>
      </c>
      <c r="W70" s="18">
        <v>8388248.9500000002</v>
      </c>
      <c r="X70" s="41">
        <v>4168835</v>
      </c>
      <c r="Y70" s="41">
        <v>15110829</v>
      </c>
      <c r="Z70" s="41">
        <v>728170</v>
      </c>
      <c r="AA70" s="41">
        <v>754411</v>
      </c>
      <c r="AB70" s="18">
        <v>9390578</v>
      </c>
      <c r="AC70" s="18">
        <v>34554756</v>
      </c>
      <c r="AD70" s="18">
        <v>19074852</v>
      </c>
      <c r="AE70" s="18">
        <v>78447557</v>
      </c>
      <c r="AF70" s="41">
        <v>11718665</v>
      </c>
      <c r="AG70" s="41">
        <v>36533991</v>
      </c>
      <c r="AH70" s="18">
        <v>515932</v>
      </c>
      <c r="AI70" s="18">
        <v>1629406</v>
      </c>
      <c r="AJ70" s="41">
        <v>1984167</v>
      </c>
      <c r="AK70" s="41">
        <v>6998501</v>
      </c>
      <c r="AL70" s="41">
        <v>1248468</v>
      </c>
      <c r="AM70" s="41">
        <v>3756050</v>
      </c>
      <c r="AN70" s="41">
        <v>1735075</v>
      </c>
      <c r="AO70" s="41">
        <v>5074948</v>
      </c>
      <c r="AP70" s="41">
        <f>'[1]NL-4 PREM SCH'!BO13</f>
        <v>30949859.379560817</v>
      </c>
      <c r="AQ70" s="41">
        <f>'[1]NL-4 PREM SCH'!BP13</f>
        <v>114650079.88154373</v>
      </c>
      <c r="AR70" s="41">
        <v>57306706</v>
      </c>
      <c r="AS70" s="41">
        <v>209563543</v>
      </c>
      <c r="AT70" s="41">
        <v>28505765</v>
      </c>
      <c r="AU70" s="41">
        <v>100282260</v>
      </c>
      <c r="AV70" s="41">
        <v>275602</v>
      </c>
      <c r="AW70" s="41">
        <v>759492</v>
      </c>
      <c r="AX70" s="41">
        <v>7130706</v>
      </c>
      <c r="AY70" s="41">
        <v>31635459</v>
      </c>
      <c r="AZ70" s="41">
        <v>2712166</v>
      </c>
      <c r="BA70" s="41">
        <v>8218715</v>
      </c>
      <c r="BB70" s="43">
        <v>5407358</v>
      </c>
      <c r="BC70" s="43">
        <v>20320862</v>
      </c>
      <c r="BD70" s="41">
        <v>7119967</v>
      </c>
      <c r="BE70" s="41">
        <v>19671987</v>
      </c>
      <c r="BF70" s="41">
        <v>5978547</v>
      </c>
      <c r="BG70" s="41">
        <v>19771510</v>
      </c>
      <c r="BH70" s="41">
        <v>12951461</v>
      </c>
      <c r="BI70" s="41">
        <v>31960378</v>
      </c>
      <c r="BJ70" s="41">
        <v>11062832</v>
      </c>
      <c r="BK70" s="41">
        <v>39330193</v>
      </c>
      <c r="BL70" s="41">
        <v>39038589</v>
      </c>
      <c r="BM70" s="41">
        <v>123904670</v>
      </c>
      <c r="BN70" s="41">
        <v>6587658</v>
      </c>
      <c r="BO70" s="41">
        <v>13763569</v>
      </c>
      <c r="BP70" s="41">
        <f>B70+D70+F70+H70+J70+L70+N70+P70+R70+T70+V70+X70+Z70+AB70+AD70+AF70+AH70+AJ70+AL70+AN70+AP70+AS69+AU69+AV70+AX70+AZ70+BB70+BD70+BF70+BH70+BJ70+BL70+BN70</f>
        <v>594581989.87856078</v>
      </c>
      <c r="BQ70" s="41">
        <f>C70+E70+G70+I70+K70+M70+O70+Q70+S70+U70+W70+Y70+AA70+AC70+AD77+AG70+AI70+AK70+AM70+AO70+AQ70+AS70+AU70+AW70+AY70+BA70+BC70+BE70+BG70+BI70+BK70+BM70+BO70</f>
        <v>996671265.60854375</v>
      </c>
    </row>
    <row r="71" spans="1:69" x14ac:dyDescent="0.25">
      <c r="A71" s="65" t="s">
        <v>165</v>
      </c>
      <c r="B71" s="41">
        <v>-3548.2739999999999</v>
      </c>
      <c r="C71" s="41">
        <v>-3538.2269999999999</v>
      </c>
      <c r="D71" s="41">
        <v>528978</v>
      </c>
      <c r="E71" s="41">
        <v>1519812</v>
      </c>
      <c r="F71" s="42">
        <v>3761460</v>
      </c>
      <c r="G71" s="42">
        <v>17795232</v>
      </c>
      <c r="H71" s="41">
        <v>5303665</v>
      </c>
      <c r="I71" s="41">
        <v>12643408</v>
      </c>
      <c r="J71" s="78">
        <v>16498604</v>
      </c>
      <c r="K71" s="78">
        <v>60585689</v>
      </c>
      <c r="L71" s="41">
        <v>3155455</v>
      </c>
      <c r="M71" s="41">
        <v>12134258</v>
      </c>
      <c r="N71" s="41">
        <v>7215812</v>
      </c>
      <c r="O71" s="41">
        <v>28238416</v>
      </c>
      <c r="P71" s="41">
        <v>863203</v>
      </c>
      <c r="Q71" s="41">
        <v>2661391</v>
      </c>
      <c r="R71" s="41">
        <v>315348</v>
      </c>
      <c r="S71" s="41">
        <v>445801</v>
      </c>
      <c r="T71" s="18">
        <v>27</v>
      </c>
      <c r="U71" s="18">
        <v>27</v>
      </c>
      <c r="V71" s="18">
        <v>2703516.65</v>
      </c>
      <c r="W71" s="18">
        <v>8392370.1600000001</v>
      </c>
      <c r="X71" s="41">
        <v>3508717</v>
      </c>
      <c r="Y71" s="41">
        <v>12801833</v>
      </c>
      <c r="Z71" s="41">
        <v>71234</v>
      </c>
      <c r="AA71" s="41">
        <v>74650</v>
      </c>
      <c r="AB71" s="18">
        <v>7714067</v>
      </c>
      <c r="AC71" s="18">
        <v>29944997</v>
      </c>
      <c r="AD71" s="18">
        <v>18166443</v>
      </c>
      <c r="AE71" s="18">
        <v>69117348</v>
      </c>
      <c r="AF71" s="41">
        <v>8960492</v>
      </c>
      <c r="AG71" s="41">
        <v>32363085</v>
      </c>
      <c r="AH71" s="18">
        <v>356836</v>
      </c>
      <c r="AI71" s="18">
        <v>1158748</v>
      </c>
      <c r="AJ71" s="41">
        <v>1598100</v>
      </c>
      <c r="AK71" s="41">
        <v>5791323</v>
      </c>
      <c r="AL71" s="41">
        <v>857649</v>
      </c>
      <c r="AM71" s="41">
        <v>3345757</v>
      </c>
      <c r="AN71" s="41">
        <v>1924549</v>
      </c>
      <c r="AO71" s="41">
        <v>5758542</v>
      </c>
      <c r="AP71" s="41">
        <v>29835166.134560816</v>
      </c>
      <c r="AQ71" s="41">
        <v>112665548.08804372</v>
      </c>
      <c r="AR71" s="41">
        <v>52154617</v>
      </c>
      <c r="AS71" s="41">
        <v>197245981</v>
      </c>
      <c r="AT71" s="41">
        <v>27151341</v>
      </c>
      <c r="AU71" s="41">
        <v>96280064</v>
      </c>
      <c r="AV71" s="41">
        <v>175006</v>
      </c>
      <c r="AW71" s="41">
        <v>601914</v>
      </c>
      <c r="AX71" s="41">
        <v>6992415</v>
      </c>
      <c r="AY71" s="41">
        <v>28556607</v>
      </c>
      <c r="AZ71" s="41">
        <v>2285828</v>
      </c>
      <c r="BA71" s="41">
        <v>6796746</v>
      </c>
      <c r="BB71" s="43">
        <v>4874373</v>
      </c>
      <c r="BC71" s="43">
        <v>19404410</v>
      </c>
      <c r="BD71" s="41">
        <v>4999757</v>
      </c>
      <c r="BE71" s="41">
        <v>16927422</v>
      </c>
      <c r="BF71" s="41">
        <v>4721362</v>
      </c>
      <c r="BG71" s="41">
        <v>18548937</v>
      </c>
      <c r="BH71" s="41">
        <v>10943374</v>
      </c>
      <c r="BI71" s="41">
        <v>27396000</v>
      </c>
      <c r="BJ71" s="41">
        <v>9218525</v>
      </c>
      <c r="BK71" s="41">
        <v>33269666</v>
      </c>
      <c r="BL71" s="41">
        <v>39274587</v>
      </c>
      <c r="BM71" s="41">
        <v>128609842</v>
      </c>
      <c r="BN71" s="41">
        <v>6375625</v>
      </c>
      <c r="BO71" s="41">
        <v>11972876</v>
      </c>
      <c r="BP71" s="41">
        <f>B71+D71+F71+H71+J71+L71+N71+P71+R71+T71+V71+X71+Z71+AB71+AD71+AF71+AH71+AJ71+AM70+AN71+AP71+AS70+AU70+AV71+AX71+AZ71+BB71+BD71+BF71+BH71+BJ71+BL71+BN71</f>
        <v>515940829.51056081</v>
      </c>
      <c r="BQ71" s="41">
        <f>C71+E71+G71+I71+K71+M71+O71+Q71+S71+U71+W71+Y71+AA71+AC71+AD78+AG71+AI71+AK71+AM71+AO71+AQ71+AS71+AU71+AW71+AY71+BA71+BC71+BE71+BG71+BI71+BK71+BM71+BO71</f>
        <v>933927814.02104378</v>
      </c>
    </row>
    <row r="72" spans="1:69" x14ac:dyDescent="0.25">
      <c r="A72" s="7"/>
    </row>
  </sheetData>
  <mergeCells count="340"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H4:BI4"/>
    <mergeCell ref="BJ4:BK4"/>
    <mergeCell ref="BL4:BM4"/>
    <mergeCell ref="BN4:BO4"/>
    <mergeCell ref="BP4:BQ4"/>
    <mergeCell ref="B11:C11"/>
    <mergeCell ref="D11:E11"/>
    <mergeCell ref="F11:G11"/>
    <mergeCell ref="H11:I11"/>
    <mergeCell ref="J11:K11"/>
    <mergeCell ref="AX4:AY4"/>
    <mergeCell ref="AZ4:BA4"/>
    <mergeCell ref="BB4:BC4"/>
    <mergeCell ref="BD4:BE4"/>
    <mergeCell ref="BF4:BG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BL11:BM11"/>
    <mergeCell ref="BN11:BO11"/>
    <mergeCell ref="BP11:BQ11"/>
    <mergeCell ref="AV11:AW11"/>
    <mergeCell ref="AX11:AY11"/>
    <mergeCell ref="AZ11:BA11"/>
    <mergeCell ref="BB11:BC11"/>
    <mergeCell ref="BD11:BE11"/>
    <mergeCell ref="R11:S11"/>
    <mergeCell ref="T11:U11"/>
    <mergeCell ref="V11:W11"/>
    <mergeCell ref="B18:C18"/>
    <mergeCell ref="D18:E18"/>
    <mergeCell ref="F18:G18"/>
    <mergeCell ref="H18:I18"/>
    <mergeCell ref="J18:K18"/>
    <mergeCell ref="L18:M18"/>
    <mergeCell ref="BF11:BG11"/>
    <mergeCell ref="BH11:BI11"/>
    <mergeCell ref="BJ11:BK11"/>
    <mergeCell ref="AJ11:AK11"/>
    <mergeCell ref="AL11:AM11"/>
    <mergeCell ref="AN11:AO11"/>
    <mergeCell ref="AP11:AQ11"/>
    <mergeCell ref="AR11:AS11"/>
    <mergeCell ref="AT11:AU11"/>
    <mergeCell ref="X11:Y11"/>
    <mergeCell ref="Z11:AA11"/>
    <mergeCell ref="AB11:AC11"/>
    <mergeCell ref="AD11:AE11"/>
    <mergeCell ref="AF11:AG11"/>
    <mergeCell ref="AH11:AI11"/>
    <mergeCell ref="L11:M11"/>
    <mergeCell ref="N11:O11"/>
    <mergeCell ref="P11:Q11"/>
    <mergeCell ref="AF18:AG18"/>
    <mergeCell ref="AH18:AI18"/>
    <mergeCell ref="AJ18:AK18"/>
    <mergeCell ref="N18:O18"/>
    <mergeCell ref="P18:Q18"/>
    <mergeCell ref="R18:S18"/>
    <mergeCell ref="T18:U18"/>
    <mergeCell ref="V18:W18"/>
    <mergeCell ref="X18:Y18"/>
    <mergeCell ref="BH18:BI18"/>
    <mergeCell ref="BJ18:BK18"/>
    <mergeCell ref="BL18:BM18"/>
    <mergeCell ref="BN18:BO18"/>
    <mergeCell ref="BP18:BQ18"/>
    <mergeCell ref="B25:C25"/>
    <mergeCell ref="D25:E25"/>
    <mergeCell ref="F25:G25"/>
    <mergeCell ref="H25:I25"/>
    <mergeCell ref="J25:K25"/>
    <mergeCell ref="AX18:AY18"/>
    <mergeCell ref="AZ18:BA18"/>
    <mergeCell ref="BB18:BC18"/>
    <mergeCell ref="BD18:BE18"/>
    <mergeCell ref="BF18:BG18"/>
    <mergeCell ref="AL18:AM18"/>
    <mergeCell ref="AN18:AO18"/>
    <mergeCell ref="AP18:AQ18"/>
    <mergeCell ref="AR18:AS18"/>
    <mergeCell ref="AT18:AU18"/>
    <mergeCell ref="AV18:AW18"/>
    <mergeCell ref="Z18:AA18"/>
    <mergeCell ref="AB18:AC18"/>
    <mergeCell ref="AD18:AE18"/>
    <mergeCell ref="BL25:BM25"/>
    <mergeCell ref="BN25:BO25"/>
    <mergeCell ref="BP25:BQ25"/>
    <mergeCell ref="AV25:AW25"/>
    <mergeCell ref="AX25:AY25"/>
    <mergeCell ref="AZ25:BA25"/>
    <mergeCell ref="BB25:BC25"/>
    <mergeCell ref="BD25:BE25"/>
    <mergeCell ref="R25:S25"/>
    <mergeCell ref="T25:U25"/>
    <mergeCell ref="V25:W25"/>
    <mergeCell ref="B32:C32"/>
    <mergeCell ref="D32:E32"/>
    <mergeCell ref="F32:G32"/>
    <mergeCell ref="H32:I32"/>
    <mergeCell ref="J32:K32"/>
    <mergeCell ref="L32:M32"/>
    <mergeCell ref="BF25:BG25"/>
    <mergeCell ref="BH25:BI25"/>
    <mergeCell ref="BJ25:BK25"/>
    <mergeCell ref="AJ25:AK25"/>
    <mergeCell ref="AL25:AM25"/>
    <mergeCell ref="AN25:AO25"/>
    <mergeCell ref="AP25:AQ25"/>
    <mergeCell ref="AR25:AS25"/>
    <mergeCell ref="AT25:AU25"/>
    <mergeCell ref="X25:Y25"/>
    <mergeCell ref="Z25:AA25"/>
    <mergeCell ref="AB25:AC25"/>
    <mergeCell ref="AD25:AE25"/>
    <mergeCell ref="AF25:AG25"/>
    <mergeCell ref="AH25:AI25"/>
    <mergeCell ref="L25:M25"/>
    <mergeCell ref="N25:O25"/>
    <mergeCell ref="P25:Q25"/>
    <mergeCell ref="AF32:AG32"/>
    <mergeCell ref="AH32:AI32"/>
    <mergeCell ref="AJ32:AK32"/>
    <mergeCell ref="N32:O32"/>
    <mergeCell ref="P32:Q32"/>
    <mergeCell ref="R32:S32"/>
    <mergeCell ref="T32:U32"/>
    <mergeCell ref="V32:W32"/>
    <mergeCell ref="X32:Y32"/>
    <mergeCell ref="BH32:BI32"/>
    <mergeCell ref="BJ32:BK32"/>
    <mergeCell ref="BL32:BM32"/>
    <mergeCell ref="BN32:BO32"/>
    <mergeCell ref="BP32:BQ32"/>
    <mergeCell ref="B39:C39"/>
    <mergeCell ref="D39:E39"/>
    <mergeCell ref="F39:G39"/>
    <mergeCell ref="H39:I39"/>
    <mergeCell ref="J39:K39"/>
    <mergeCell ref="AX32:AY32"/>
    <mergeCell ref="AZ32:BA32"/>
    <mergeCell ref="BB32:BC32"/>
    <mergeCell ref="BD32:BE32"/>
    <mergeCell ref="BF32:BG32"/>
    <mergeCell ref="AL32:AM32"/>
    <mergeCell ref="AN32:AO32"/>
    <mergeCell ref="AP32:AQ32"/>
    <mergeCell ref="AR32:AS32"/>
    <mergeCell ref="AT32:AU32"/>
    <mergeCell ref="AV32:AW32"/>
    <mergeCell ref="Z32:AA32"/>
    <mergeCell ref="AB32:AC32"/>
    <mergeCell ref="AD32:AE32"/>
    <mergeCell ref="BL39:BM39"/>
    <mergeCell ref="BN39:BO39"/>
    <mergeCell ref="BP39:BQ39"/>
    <mergeCell ref="AV39:AW39"/>
    <mergeCell ref="AX39:AY39"/>
    <mergeCell ref="AZ39:BA39"/>
    <mergeCell ref="BB39:BC39"/>
    <mergeCell ref="BD39:BE39"/>
    <mergeCell ref="R39:S39"/>
    <mergeCell ref="T39:U39"/>
    <mergeCell ref="V39:W39"/>
    <mergeCell ref="B46:C46"/>
    <mergeCell ref="D46:E46"/>
    <mergeCell ref="F46:G46"/>
    <mergeCell ref="H46:I46"/>
    <mergeCell ref="J46:K46"/>
    <mergeCell ref="L46:M46"/>
    <mergeCell ref="BF39:BG39"/>
    <mergeCell ref="BH39:BI39"/>
    <mergeCell ref="BJ39:BK39"/>
    <mergeCell ref="AJ39:AK39"/>
    <mergeCell ref="AL39:AM39"/>
    <mergeCell ref="AN39:AO39"/>
    <mergeCell ref="AP39:AQ39"/>
    <mergeCell ref="AR39:AS39"/>
    <mergeCell ref="AT39:AU39"/>
    <mergeCell ref="X39:Y39"/>
    <mergeCell ref="Z39:AA39"/>
    <mergeCell ref="AB39:AC39"/>
    <mergeCell ref="AD39:AE39"/>
    <mergeCell ref="AF39:AG39"/>
    <mergeCell ref="AH39:AI39"/>
    <mergeCell ref="L39:M39"/>
    <mergeCell ref="N39:O39"/>
    <mergeCell ref="P39:Q39"/>
    <mergeCell ref="AF46:AG46"/>
    <mergeCell ref="AH46:AI46"/>
    <mergeCell ref="AJ46:AK46"/>
    <mergeCell ref="N46:O46"/>
    <mergeCell ref="P46:Q46"/>
    <mergeCell ref="R46:S46"/>
    <mergeCell ref="T46:U46"/>
    <mergeCell ref="V46:W46"/>
    <mergeCell ref="X46:Y46"/>
    <mergeCell ref="BH46:BI46"/>
    <mergeCell ref="BJ46:BK46"/>
    <mergeCell ref="BL46:BM46"/>
    <mergeCell ref="BN46:BO46"/>
    <mergeCell ref="BP46:BQ46"/>
    <mergeCell ref="B53:C53"/>
    <mergeCell ref="D53:E53"/>
    <mergeCell ref="F53:G53"/>
    <mergeCell ref="H53:I53"/>
    <mergeCell ref="J53:K53"/>
    <mergeCell ref="AX46:AY46"/>
    <mergeCell ref="AZ46:BA46"/>
    <mergeCell ref="BB46:BC46"/>
    <mergeCell ref="BD46:BE46"/>
    <mergeCell ref="BF46:BG46"/>
    <mergeCell ref="AL46:AM46"/>
    <mergeCell ref="AN46:AO46"/>
    <mergeCell ref="AP46:AQ46"/>
    <mergeCell ref="AR46:AS46"/>
    <mergeCell ref="AT46:AU46"/>
    <mergeCell ref="AV46:AW46"/>
    <mergeCell ref="Z46:AA46"/>
    <mergeCell ref="AB46:AC46"/>
    <mergeCell ref="AD46:AE46"/>
    <mergeCell ref="BL53:BM53"/>
    <mergeCell ref="BN53:BO53"/>
    <mergeCell ref="BP53:BQ53"/>
    <mergeCell ref="AV53:AW53"/>
    <mergeCell ref="AX53:AY53"/>
    <mergeCell ref="AZ53:BA53"/>
    <mergeCell ref="BB53:BC53"/>
    <mergeCell ref="BD53:BE53"/>
    <mergeCell ref="R53:S53"/>
    <mergeCell ref="T53:U53"/>
    <mergeCell ref="V53:W53"/>
    <mergeCell ref="D60:E60"/>
    <mergeCell ref="F60:G60"/>
    <mergeCell ref="H60:I60"/>
    <mergeCell ref="J60:K60"/>
    <mergeCell ref="L60:M60"/>
    <mergeCell ref="BF53:BG53"/>
    <mergeCell ref="BH53:BI53"/>
    <mergeCell ref="BJ53:BK53"/>
    <mergeCell ref="AJ53:AK53"/>
    <mergeCell ref="AL53:AM53"/>
    <mergeCell ref="AN53:AO53"/>
    <mergeCell ref="AP53:AQ53"/>
    <mergeCell ref="AR53:AS53"/>
    <mergeCell ref="AT53:AU53"/>
    <mergeCell ref="X53:Y53"/>
    <mergeCell ref="Z53:AA53"/>
    <mergeCell ref="AB53:AC53"/>
    <mergeCell ref="AD53:AE53"/>
    <mergeCell ref="AF53:AG53"/>
    <mergeCell ref="AH53:AI53"/>
    <mergeCell ref="L53:M53"/>
    <mergeCell ref="N53:O53"/>
    <mergeCell ref="P53:Q53"/>
    <mergeCell ref="BN60:BO60"/>
    <mergeCell ref="BP60:BQ60"/>
    <mergeCell ref="B67:C67"/>
    <mergeCell ref="D67:E67"/>
    <mergeCell ref="F67:G67"/>
    <mergeCell ref="H67:I67"/>
    <mergeCell ref="J67:K67"/>
    <mergeCell ref="AX60:AY60"/>
    <mergeCell ref="AZ60:BA60"/>
    <mergeCell ref="BB60:BC60"/>
    <mergeCell ref="BD60:BE60"/>
    <mergeCell ref="BF60:BG60"/>
    <mergeCell ref="AL60:AM60"/>
    <mergeCell ref="AN60:AO60"/>
    <mergeCell ref="AP60:AQ60"/>
    <mergeCell ref="AR60:AS60"/>
    <mergeCell ref="AT60:AU60"/>
    <mergeCell ref="AV60:AW60"/>
    <mergeCell ref="Z60:AA60"/>
    <mergeCell ref="AB60:AC60"/>
    <mergeCell ref="AD60:AE60"/>
    <mergeCell ref="AF60:AG60"/>
    <mergeCell ref="AH60:AI60"/>
    <mergeCell ref="B60:C60"/>
    <mergeCell ref="L67:M67"/>
    <mergeCell ref="N67:O67"/>
    <mergeCell ref="P67:Q67"/>
    <mergeCell ref="R67:S67"/>
    <mergeCell ref="T67:U67"/>
    <mergeCell ref="V67:W67"/>
    <mergeCell ref="BH60:BI60"/>
    <mergeCell ref="BJ60:BK60"/>
    <mergeCell ref="BL60:BM60"/>
    <mergeCell ref="AJ60:AK60"/>
    <mergeCell ref="N60:O60"/>
    <mergeCell ref="P60:Q60"/>
    <mergeCell ref="R60:S60"/>
    <mergeCell ref="T60:U60"/>
    <mergeCell ref="V60:W60"/>
    <mergeCell ref="X60:Y60"/>
    <mergeCell ref="AJ67:AK67"/>
    <mergeCell ref="AL67:AM67"/>
    <mergeCell ref="AN67:AO67"/>
    <mergeCell ref="AP67:AQ67"/>
    <mergeCell ref="AR67:AS67"/>
    <mergeCell ref="AT67:AU67"/>
    <mergeCell ref="X67:Y67"/>
    <mergeCell ref="Z67:AA67"/>
    <mergeCell ref="BP67:BQ67"/>
    <mergeCell ref="AV67:AW67"/>
    <mergeCell ref="AX67:AY67"/>
    <mergeCell ref="AZ67:BA67"/>
    <mergeCell ref="BB67:BC67"/>
    <mergeCell ref="BD67:BE67"/>
    <mergeCell ref="AB67:AC67"/>
    <mergeCell ref="AD67:AE67"/>
    <mergeCell ref="AF67:AG67"/>
    <mergeCell ref="AH67:AI67"/>
    <mergeCell ref="BF67:BG67"/>
    <mergeCell ref="BH67:BI67"/>
    <mergeCell ref="BJ67:BK67"/>
    <mergeCell ref="BL67:BM67"/>
    <mergeCell ref="BN67:BO6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3" sqref="B3"/>
    </sheetView>
  </sheetViews>
  <sheetFormatPr defaultRowHeight="15" x14ac:dyDescent="0.25"/>
  <cols>
    <col min="1" max="1" width="31" style="51" customWidth="1"/>
    <col min="2" max="69" width="14.85546875" style="7" customWidth="1"/>
    <col min="70" max="16384" width="9.140625" style="7"/>
  </cols>
  <sheetData>
    <row r="1" spans="1:69" ht="18.75" x14ac:dyDescent="0.3">
      <c r="A1" s="24" t="s">
        <v>324</v>
      </c>
    </row>
    <row r="2" spans="1:69" x14ac:dyDescent="0.25">
      <c r="A2" s="51" t="s">
        <v>42</v>
      </c>
    </row>
    <row r="3" spans="1:69" s="10" customFormat="1" x14ac:dyDescent="0.25">
      <c r="A3" s="63" t="s">
        <v>104</v>
      </c>
    </row>
    <row r="4" spans="1:69" s="12" customFormat="1" x14ac:dyDescent="0.25">
      <c r="A4" s="20" t="s">
        <v>0</v>
      </c>
      <c r="B4" s="160" t="s">
        <v>1</v>
      </c>
      <c r="C4" s="160"/>
      <c r="D4" s="160" t="s">
        <v>2</v>
      </c>
      <c r="E4" s="160"/>
      <c r="F4" s="160" t="s">
        <v>3</v>
      </c>
      <c r="G4" s="160"/>
      <c r="H4" s="160" t="s">
        <v>4</v>
      </c>
      <c r="I4" s="160"/>
      <c r="J4" s="160" t="s">
        <v>5</v>
      </c>
      <c r="K4" s="160"/>
      <c r="L4" s="160" t="s">
        <v>6</v>
      </c>
      <c r="M4" s="160"/>
      <c r="N4" s="160" t="s">
        <v>7</v>
      </c>
      <c r="O4" s="160"/>
      <c r="P4" s="160" t="s">
        <v>8</v>
      </c>
      <c r="Q4" s="160"/>
      <c r="R4" s="160" t="s">
        <v>9</v>
      </c>
      <c r="S4" s="160"/>
      <c r="T4" s="160" t="s">
        <v>10</v>
      </c>
      <c r="U4" s="160"/>
      <c r="V4" s="160" t="s">
        <v>11</v>
      </c>
      <c r="W4" s="160"/>
      <c r="X4" s="160" t="s">
        <v>12</v>
      </c>
      <c r="Y4" s="160"/>
      <c r="Z4" s="160" t="s">
        <v>13</v>
      </c>
      <c r="AA4" s="160"/>
      <c r="AB4" s="160" t="s">
        <v>14</v>
      </c>
      <c r="AC4" s="160"/>
      <c r="AD4" s="160" t="s">
        <v>15</v>
      </c>
      <c r="AE4" s="160"/>
      <c r="AF4" s="160" t="s">
        <v>16</v>
      </c>
      <c r="AG4" s="160"/>
      <c r="AH4" s="160" t="s">
        <v>17</v>
      </c>
      <c r="AI4" s="160"/>
      <c r="AJ4" s="160" t="s">
        <v>18</v>
      </c>
      <c r="AK4" s="160"/>
      <c r="AL4" s="160" t="s">
        <v>19</v>
      </c>
      <c r="AM4" s="160"/>
      <c r="AN4" s="160" t="s">
        <v>20</v>
      </c>
      <c r="AO4" s="160"/>
      <c r="AP4" s="160" t="s">
        <v>21</v>
      </c>
      <c r="AQ4" s="160"/>
      <c r="AR4" s="160" t="s">
        <v>109</v>
      </c>
      <c r="AS4" s="160"/>
      <c r="AT4" s="160" t="s">
        <v>110</v>
      </c>
      <c r="AU4" s="160"/>
      <c r="AV4" s="160" t="s">
        <v>22</v>
      </c>
      <c r="AW4" s="160"/>
      <c r="AX4" s="160" t="s">
        <v>23</v>
      </c>
      <c r="AY4" s="160"/>
      <c r="AZ4" s="160" t="s">
        <v>24</v>
      </c>
      <c r="BA4" s="160"/>
      <c r="BB4" s="160" t="s">
        <v>25</v>
      </c>
      <c r="BC4" s="160"/>
      <c r="BD4" s="160" t="s">
        <v>26</v>
      </c>
      <c r="BE4" s="160"/>
      <c r="BF4" s="160" t="s">
        <v>27</v>
      </c>
      <c r="BG4" s="160"/>
      <c r="BH4" s="160" t="s">
        <v>28</v>
      </c>
      <c r="BI4" s="160"/>
      <c r="BJ4" s="160" t="s">
        <v>29</v>
      </c>
      <c r="BK4" s="160"/>
      <c r="BL4" s="160" t="s">
        <v>30</v>
      </c>
      <c r="BM4" s="160"/>
      <c r="BN4" s="160" t="s">
        <v>31</v>
      </c>
      <c r="BO4" s="160"/>
      <c r="BP4" s="160" t="s">
        <v>150</v>
      </c>
      <c r="BQ4" s="160"/>
    </row>
    <row r="5" spans="1:69" s="39" customFormat="1" ht="44.25" customHeight="1" x14ac:dyDescent="0.25">
      <c r="A5" s="40"/>
      <c r="B5" s="40" t="s">
        <v>161</v>
      </c>
      <c r="C5" s="40" t="s">
        <v>162</v>
      </c>
      <c r="D5" s="40" t="s">
        <v>161</v>
      </c>
      <c r="E5" s="40" t="s">
        <v>162</v>
      </c>
      <c r="F5" s="40" t="s">
        <v>161</v>
      </c>
      <c r="G5" s="40" t="s">
        <v>162</v>
      </c>
      <c r="H5" s="40" t="s">
        <v>161</v>
      </c>
      <c r="I5" s="40" t="s">
        <v>162</v>
      </c>
      <c r="J5" s="40" t="s">
        <v>161</v>
      </c>
      <c r="K5" s="40" t="s">
        <v>162</v>
      </c>
      <c r="L5" s="40" t="s">
        <v>161</v>
      </c>
      <c r="M5" s="40" t="s">
        <v>162</v>
      </c>
      <c r="N5" s="40" t="s">
        <v>161</v>
      </c>
      <c r="O5" s="40" t="s">
        <v>162</v>
      </c>
      <c r="P5" s="40" t="s">
        <v>161</v>
      </c>
      <c r="Q5" s="40" t="s">
        <v>162</v>
      </c>
      <c r="R5" s="40" t="s">
        <v>161</v>
      </c>
      <c r="S5" s="40" t="s">
        <v>162</v>
      </c>
      <c r="T5" s="40" t="s">
        <v>161</v>
      </c>
      <c r="U5" s="40" t="s">
        <v>162</v>
      </c>
      <c r="V5" s="40" t="s">
        <v>161</v>
      </c>
      <c r="W5" s="40" t="s">
        <v>162</v>
      </c>
      <c r="X5" s="40" t="s">
        <v>161</v>
      </c>
      <c r="Y5" s="40" t="s">
        <v>162</v>
      </c>
      <c r="Z5" s="40" t="s">
        <v>161</v>
      </c>
      <c r="AA5" s="40" t="s">
        <v>162</v>
      </c>
      <c r="AB5" s="40" t="s">
        <v>161</v>
      </c>
      <c r="AC5" s="40" t="s">
        <v>162</v>
      </c>
      <c r="AD5" s="40" t="s">
        <v>161</v>
      </c>
      <c r="AE5" s="40" t="s">
        <v>162</v>
      </c>
      <c r="AF5" s="40" t="s">
        <v>161</v>
      </c>
      <c r="AG5" s="40" t="s">
        <v>162</v>
      </c>
      <c r="AH5" s="40" t="s">
        <v>161</v>
      </c>
      <c r="AI5" s="40" t="s">
        <v>162</v>
      </c>
      <c r="AJ5" s="40" t="s">
        <v>161</v>
      </c>
      <c r="AK5" s="40" t="s">
        <v>162</v>
      </c>
      <c r="AL5" s="40" t="s">
        <v>161</v>
      </c>
      <c r="AM5" s="40" t="s">
        <v>162</v>
      </c>
      <c r="AN5" s="40" t="s">
        <v>161</v>
      </c>
      <c r="AO5" s="40" t="s">
        <v>162</v>
      </c>
      <c r="AP5" s="40" t="s">
        <v>161</v>
      </c>
      <c r="AQ5" s="40" t="s">
        <v>162</v>
      </c>
      <c r="AR5" s="40" t="s">
        <v>161</v>
      </c>
      <c r="AS5" s="40" t="s">
        <v>162</v>
      </c>
      <c r="AT5" s="40" t="s">
        <v>161</v>
      </c>
      <c r="AU5" s="40" t="s">
        <v>162</v>
      </c>
      <c r="AV5" s="40" t="s">
        <v>161</v>
      </c>
      <c r="AW5" s="40" t="s">
        <v>162</v>
      </c>
      <c r="AX5" s="40" t="s">
        <v>161</v>
      </c>
      <c r="AY5" s="40" t="s">
        <v>162</v>
      </c>
      <c r="AZ5" s="40" t="s">
        <v>161</v>
      </c>
      <c r="BA5" s="40" t="s">
        <v>162</v>
      </c>
      <c r="BB5" s="40" t="s">
        <v>161</v>
      </c>
      <c r="BC5" s="40" t="s">
        <v>162</v>
      </c>
      <c r="BD5" s="40" t="s">
        <v>161</v>
      </c>
      <c r="BE5" s="40" t="s">
        <v>162</v>
      </c>
      <c r="BF5" s="40" t="s">
        <v>161</v>
      </c>
      <c r="BG5" s="40" t="s">
        <v>162</v>
      </c>
      <c r="BH5" s="40" t="s">
        <v>161</v>
      </c>
      <c r="BI5" s="40" t="s">
        <v>162</v>
      </c>
      <c r="BJ5" s="40" t="s">
        <v>161</v>
      </c>
      <c r="BK5" s="40" t="s">
        <v>162</v>
      </c>
      <c r="BL5" s="40" t="s">
        <v>161</v>
      </c>
      <c r="BM5" s="40" t="s">
        <v>162</v>
      </c>
      <c r="BN5" s="40" t="s">
        <v>161</v>
      </c>
      <c r="BO5" s="40" t="s">
        <v>162</v>
      </c>
      <c r="BP5" s="40" t="s">
        <v>161</v>
      </c>
      <c r="BQ5" s="40" t="s">
        <v>162</v>
      </c>
    </row>
    <row r="6" spans="1:69" x14ac:dyDescent="0.25">
      <c r="A6" s="65" t="s">
        <v>166</v>
      </c>
      <c r="B6" s="41"/>
      <c r="C6" s="41"/>
      <c r="D6" s="41"/>
      <c r="E6" s="41"/>
      <c r="F6" s="41"/>
      <c r="G6" s="41"/>
      <c r="H6" s="41"/>
      <c r="I6" s="41"/>
      <c r="J6" s="68">
        <v>727979</v>
      </c>
      <c r="K6" s="41">
        <v>2278374</v>
      </c>
      <c r="L6" s="41">
        <v>20753</v>
      </c>
      <c r="M6" s="41">
        <v>406034</v>
      </c>
      <c r="N6" s="41">
        <v>137550</v>
      </c>
      <c r="O6" s="41">
        <v>1172142</v>
      </c>
      <c r="P6" s="41"/>
      <c r="Q6" s="41"/>
      <c r="R6" s="41"/>
      <c r="S6" s="41"/>
      <c r="T6" s="41"/>
      <c r="U6" s="41"/>
      <c r="V6" s="41"/>
      <c r="W6" s="41"/>
      <c r="X6" s="41">
        <v>291352</v>
      </c>
      <c r="Y6" s="41">
        <v>902752</v>
      </c>
      <c r="Z6" s="41"/>
      <c r="AA6" s="41"/>
      <c r="AB6" s="41">
        <v>1083472</v>
      </c>
      <c r="AC6" s="41">
        <v>2573452</v>
      </c>
      <c r="AD6" s="41">
        <v>1055646</v>
      </c>
      <c r="AE6" s="41">
        <v>3352732</v>
      </c>
      <c r="AF6" s="41">
        <v>423725</v>
      </c>
      <c r="AG6" s="41">
        <v>1530959</v>
      </c>
      <c r="AH6" s="41">
        <v>3825</v>
      </c>
      <c r="AI6" s="41">
        <v>4837</v>
      </c>
      <c r="AJ6" s="41">
        <v>14058</v>
      </c>
      <c r="AK6" s="41">
        <v>132511</v>
      </c>
      <c r="AL6" s="41">
        <v>184238</v>
      </c>
      <c r="AM6" s="41">
        <v>243173</v>
      </c>
      <c r="AN6" s="41"/>
      <c r="AO6" s="41"/>
      <c r="AP6" s="41">
        <v>2613964.3109999998</v>
      </c>
      <c r="AQ6" s="41">
        <v>7890527.9359999998</v>
      </c>
      <c r="AR6" s="41">
        <v>5463306</v>
      </c>
      <c r="AS6" s="41">
        <v>18285894</v>
      </c>
      <c r="AT6" s="41">
        <v>2249424</v>
      </c>
      <c r="AU6" s="41">
        <v>6548949</v>
      </c>
      <c r="AV6" s="41">
        <v>2743</v>
      </c>
      <c r="AW6" s="41">
        <v>3723</v>
      </c>
      <c r="AX6" s="41">
        <v>1057832</v>
      </c>
      <c r="AY6" s="41">
        <v>2968763</v>
      </c>
      <c r="AZ6" s="41"/>
      <c r="BA6" s="41"/>
      <c r="BB6" s="43">
        <v>114540</v>
      </c>
      <c r="BC6" s="43">
        <v>591642</v>
      </c>
      <c r="BD6" s="41">
        <v>478195</v>
      </c>
      <c r="BE6" s="41">
        <v>1752295</v>
      </c>
      <c r="BF6" s="41">
        <v>15818</v>
      </c>
      <c r="BG6" s="41">
        <v>55961</v>
      </c>
      <c r="BH6" s="41"/>
      <c r="BI6" s="41"/>
      <c r="BJ6" s="41">
        <v>790273</v>
      </c>
      <c r="BK6" s="41">
        <v>2207382</v>
      </c>
      <c r="BL6" s="41">
        <v>2121917</v>
      </c>
      <c r="BM6" s="41">
        <v>8332435</v>
      </c>
      <c r="BN6" s="41">
        <v>191661</v>
      </c>
      <c r="BO6" s="41">
        <v>548147</v>
      </c>
      <c r="BP6" s="41">
        <f>B6+D6+F60+H6+J6+L6+N6+P6+R6+T6+V6+X6+Z6+AB6+AD6+AF6+AH6+AJ6+AL6+AN6+AP6+AR6+AT6+AV6+AX6+AZ6+BB6+BD6+BF6+BH6+BJ6+BL6+BN6</f>
        <v>22037644.311000001</v>
      </c>
      <c r="BQ6" s="41">
        <f>C6+E6+G60+I6+K6+M6+O6+Q6+S6+U6+W6+Y6+AA6+AC6+AE6+AG6+AI6+AK6+AM6+AO6+AQ6+AS6+AU6+AW6+AY6+BA6+BC6+BE6+BF12+BI6+BK6+BM6+BO6</f>
        <v>107502789.93599999</v>
      </c>
    </row>
    <row r="7" spans="1:69" x14ac:dyDescent="0.25">
      <c r="A7" s="65" t="s">
        <v>167</v>
      </c>
      <c r="B7" s="41"/>
      <c r="C7" s="41"/>
      <c r="D7" s="41"/>
      <c r="E7" s="41"/>
      <c r="F7" s="41"/>
      <c r="G7" s="41"/>
      <c r="H7" s="41"/>
      <c r="I7" s="41"/>
      <c r="J7" s="68">
        <v>185025</v>
      </c>
      <c r="K7" s="41">
        <v>886424</v>
      </c>
      <c r="L7" s="41">
        <v>12233</v>
      </c>
      <c r="M7" s="41">
        <v>60564</v>
      </c>
      <c r="N7" s="41">
        <v>8670</v>
      </c>
      <c r="O7" s="41">
        <v>125950</v>
      </c>
      <c r="P7" s="41"/>
      <c r="Q7" s="41"/>
      <c r="R7" s="41">
        <v>4543</v>
      </c>
      <c r="S7" s="41">
        <v>4930</v>
      </c>
      <c r="T7" s="41"/>
      <c r="U7" s="41"/>
      <c r="V7" s="41"/>
      <c r="W7" s="41"/>
      <c r="X7" s="41">
        <v>93674</v>
      </c>
      <c r="Y7" s="41">
        <v>306055</v>
      </c>
      <c r="Z7" s="41">
        <v>1832</v>
      </c>
      <c r="AA7" s="41">
        <v>1899</v>
      </c>
      <c r="AB7" s="41">
        <v>169389</v>
      </c>
      <c r="AC7" s="41">
        <v>641451</v>
      </c>
      <c r="AD7" s="41">
        <v>-24311</v>
      </c>
      <c r="AE7" s="41">
        <v>620754</v>
      </c>
      <c r="AF7" s="41">
        <v>143491</v>
      </c>
      <c r="AG7" s="41">
        <v>479064</v>
      </c>
      <c r="AH7" s="41">
        <v>3674</v>
      </c>
      <c r="AI7" s="41">
        <v>9226</v>
      </c>
      <c r="AJ7" s="41">
        <v>-5572</v>
      </c>
      <c r="AK7" s="41">
        <v>18532</v>
      </c>
      <c r="AL7" s="41">
        <v>16848</v>
      </c>
      <c r="AM7" s="41">
        <v>68354</v>
      </c>
      <c r="AN7" s="41"/>
      <c r="AO7" s="41"/>
      <c r="AP7" s="41">
        <v>3807739.696</v>
      </c>
      <c r="AQ7" s="41">
        <v>8640102.0879999995</v>
      </c>
      <c r="AR7" s="41">
        <v>4083002</v>
      </c>
      <c r="AS7" s="41">
        <v>15104016</v>
      </c>
      <c r="AT7" s="41">
        <v>696584</v>
      </c>
      <c r="AU7" s="41">
        <v>5095663</v>
      </c>
      <c r="AV7" s="41">
        <v>-1775</v>
      </c>
      <c r="AW7" s="41">
        <v>-4241</v>
      </c>
      <c r="AX7" s="41">
        <v>126740</v>
      </c>
      <c r="AY7" s="41">
        <v>471531</v>
      </c>
      <c r="AZ7" s="41"/>
      <c r="BA7" s="41"/>
      <c r="BB7" s="43">
        <v>38578</v>
      </c>
      <c r="BC7" s="80">
        <v>133894</v>
      </c>
      <c r="BD7" s="41">
        <v>-14014</v>
      </c>
      <c r="BE7" s="41">
        <v>583664</v>
      </c>
      <c r="BF7" s="41">
        <v>20040</v>
      </c>
      <c r="BG7" s="41">
        <v>86817</v>
      </c>
      <c r="BH7" s="41"/>
      <c r="BI7" s="41"/>
      <c r="BJ7" s="41">
        <v>65896</v>
      </c>
      <c r="BK7" s="41">
        <v>241773</v>
      </c>
      <c r="BL7" s="41">
        <v>3930819</v>
      </c>
      <c r="BM7" s="41">
        <v>8454795</v>
      </c>
      <c r="BN7" s="41">
        <v>-4215</v>
      </c>
      <c r="BO7" s="41">
        <v>171019</v>
      </c>
      <c r="BP7" s="41">
        <f>B7+D7+F61+H7+J7+L7+N7+P7+R7+T7+V7+X7+Z7+AB7+AD7+AF7+AH7+AJ7+AL7+AN7+AP7+AR7+AT7+AV7+AX7+AZ7+BB7+BD7+BF7+BH7+BJ7+BL7+BN7</f>
        <v>18535969.696000002</v>
      </c>
      <c r="BQ7" s="41">
        <f>C7+E7+G61+I7+K7+M7+O7+Q7+S7+U7+W7+Y7+AA7+AC7+AE7+AG7+AI7+AK7+AM7+AO7+AQ7+AS7+AU7+AW7+AY7+BA7+BC7+BE7+BF13+BI7+BK7+BM7+BO7</f>
        <v>60311176.088</v>
      </c>
    </row>
    <row r="8" spans="1:69" x14ac:dyDescent="0.25">
      <c r="BB8" s="81"/>
      <c r="BC8" s="81"/>
    </row>
    <row r="9" spans="1:69" s="10" customFormat="1" x14ac:dyDescent="0.25">
      <c r="A9" s="63" t="s">
        <v>128</v>
      </c>
    </row>
    <row r="10" spans="1:69" s="12" customFormat="1" x14ac:dyDescent="0.25">
      <c r="A10" s="20" t="s">
        <v>0</v>
      </c>
      <c r="B10" s="160" t="s">
        <v>1</v>
      </c>
      <c r="C10" s="160"/>
      <c r="D10" s="160" t="s">
        <v>2</v>
      </c>
      <c r="E10" s="160"/>
      <c r="F10" s="160" t="s">
        <v>3</v>
      </c>
      <c r="G10" s="160"/>
      <c r="H10" s="160" t="s">
        <v>4</v>
      </c>
      <c r="I10" s="160"/>
      <c r="J10" s="160" t="s">
        <v>5</v>
      </c>
      <c r="K10" s="160"/>
      <c r="L10" s="160" t="s">
        <v>6</v>
      </c>
      <c r="M10" s="160"/>
      <c r="N10" s="160" t="s">
        <v>7</v>
      </c>
      <c r="O10" s="160"/>
      <c r="P10" s="160" t="s">
        <v>8</v>
      </c>
      <c r="Q10" s="160"/>
      <c r="R10" s="160" t="s">
        <v>9</v>
      </c>
      <c r="S10" s="160"/>
      <c r="T10" s="160" t="s">
        <v>10</v>
      </c>
      <c r="U10" s="160"/>
      <c r="V10" s="160" t="s">
        <v>11</v>
      </c>
      <c r="W10" s="160"/>
      <c r="X10" s="160" t="s">
        <v>12</v>
      </c>
      <c r="Y10" s="160"/>
      <c r="Z10" s="160" t="s">
        <v>13</v>
      </c>
      <c r="AA10" s="160"/>
      <c r="AB10" s="160" t="s">
        <v>14</v>
      </c>
      <c r="AC10" s="160"/>
      <c r="AD10" s="160" t="s">
        <v>15</v>
      </c>
      <c r="AE10" s="160"/>
      <c r="AF10" s="160" t="s">
        <v>16</v>
      </c>
      <c r="AG10" s="160"/>
      <c r="AH10" s="160" t="s">
        <v>17</v>
      </c>
      <c r="AI10" s="160"/>
      <c r="AJ10" s="160" t="s">
        <v>18</v>
      </c>
      <c r="AK10" s="160"/>
      <c r="AL10" s="160" t="s">
        <v>19</v>
      </c>
      <c r="AM10" s="160"/>
      <c r="AN10" s="160" t="s">
        <v>20</v>
      </c>
      <c r="AO10" s="160"/>
      <c r="AP10" s="160" t="s">
        <v>21</v>
      </c>
      <c r="AQ10" s="160"/>
      <c r="AR10" s="160" t="s">
        <v>109</v>
      </c>
      <c r="AS10" s="160"/>
      <c r="AT10" s="160" t="s">
        <v>110</v>
      </c>
      <c r="AU10" s="160"/>
      <c r="AV10" s="160" t="s">
        <v>22</v>
      </c>
      <c r="AW10" s="160"/>
      <c r="AX10" s="160" t="s">
        <v>23</v>
      </c>
      <c r="AY10" s="160"/>
      <c r="AZ10" s="160" t="s">
        <v>24</v>
      </c>
      <c r="BA10" s="160"/>
      <c r="BB10" s="160" t="s">
        <v>25</v>
      </c>
      <c r="BC10" s="160"/>
      <c r="BD10" s="160" t="s">
        <v>26</v>
      </c>
      <c r="BE10" s="160"/>
      <c r="BF10" s="160" t="s">
        <v>27</v>
      </c>
      <c r="BG10" s="160"/>
      <c r="BH10" s="160" t="s">
        <v>28</v>
      </c>
      <c r="BI10" s="160"/>
      <c r="BJ10" s="160" t="s">
        <v>29</v>
      </c>
      <c r="BK10" s="160"/>
      <c r="BL10" s="160" t="s">
        <v>30</v>
      </c>
      <c r="BM10" s="160"/>
      <c r="BN10" s="160" t="s">
        <v>31</v>
      </c>
      <c r="BO10" s="160"/>
      <c r="BP10" s="160" t="s">
        <v>150</v>
      </c>
      <c r="BQ10" s="160"/>
    </row>
    <row r="11" spans="1:69" s="39" customFormat="1" ht="44.25" customHeight="1" x14ac:dyDescent="0.25">
      <c r="A11" s="40"/>
      <c r="B11" s="40" t="s">
        <v>161</v>
      </c>
      <c r="C11" s="40" t="s">
        <v>162</v>
      </c>
      <c r="D11" s="40" t="s">
        <v>161</v>
      </c>
      <c r="E11" s="40" t="s">
        <v>162</v>
      </c>
      <c r="F11" s="40" t="s">
        <v>161</v>
      </c>
      <c r="G11" s="40" t="s">
        <v>162</v>
      </c>
      <c r="H11" s="40" t="s">
        <v>161</v>
      </c>
      <c r="I11" s="40" t="s">
        <v>162</v>
      </c>
      <c r="J11" s="40" t="s">
        <v>161</v>
      </c>
      <c r="K11" s="40" t="s">
        <v>162</v>
      </c>
      <c r="L11" s="40" t="s">
        <v>161</v>
      </c>
      <c r="M11" s="40" t="s">
        <v>162</v>
      </c>
      <c r="N11" s="40" t="s">
        <v>161</v>
      </c>
      <c r="O11" s="40" t="s">
        <v>162</v>
      </c>
      <c r="P11" s="40" t="s">
        <v>161</v>
      </c>
      <c r="Q11" s="40" t="s">
        <v>162</v>
      </c>
      <c r="R11" s="40" t="s">
        <v>161</v>
      </c>
      <c r="S11" s="40" t="s">
        <v>162</v>
      </c>
      <c r="T11" s="40" t="s">
        <v>161</v>
      </c>
      <c r="U11" s="40" t="s">
        <v>162</v>
      </c>
      <c r="V11" s="40" t="s">
        <v>161</v>
      </c>
      <c r="W11" s="40" t="s">
        <v>162</v>
      </c>
      <c r="X11" s="40" t="s">
        <v>161</v>
      </c>
      <c r="Y11" s="40" t="s">
        <v>162</v>
      </c>
      <c r="Z11" s="40" t="s">
        <v>161</v>
      </c>
      <c r="AA11" s="40" t="s">
        <v>162</v>
      </c>
      <c r="AB11" s="40" t="s">
        <v>161</v>
      </c>
      <c r="AC11" s="40" t="s">
        <v>162</v>
      </c>
      <c r="AD11" s="40" t="s">
        <v>161</v>
      </c>
      <c r="AE11" s="40" t="s">
        <v>162</v>
      </c>
      <c r="AF11" s="40" t="s">
        <v>161</v>
      </c>
      <c r="AG11" s="40" t="s">
        <v>162</v>
      </c>
      <c r="AH11" s="40" t="s">
        <v>161</v>
      </c>
      <c r="AI11" s="40" t="s">
        <v>162</v>
      </c>
      <c r="AJ11" s="40" t="s">
        <v>161</v>
      </c>
      <c r="AK11" s="40" t="s">
        <v>162</v>
      </c>
      <c r="AL11" s="40" t="s">
        <v>161</v>
      </c>
      <c r="AM11" s="40" t="s">
        <v>162</v>
      </c>
      <c r="AN11" s="40" t="s">
        <v>161</v>
      </c>
      <c r="AO11" s="40" t="s">
        <v>162</v>
      </c>
      <c r="AP11" s="40" t="s">
        <v>161</v>
      </c>
      <c r="AQ11" s="40" t="s">
        <v>162</v>
      </c>
      <c r="AR11" s="40" t="s">
        <v>161</v>
      </c>
      <c r="AS11" s="40" t="s">
        <v>162</v>
      </c>
      <c r="AT11" s="40" t="s">
        <v>161</v>
      </c>
      <c r="AU11" s="40" t="s">
        <v>162</v>
      </c>
      <c r="AV11" s="40" t="s">
        <v>161</v>
      </c>
      <c r="AW11" s="40" t="s">
        <v>162</v>
      </c>
      <c r="AX11" s="40" t="s">
        <v>161</v>
      </c>
      <c r="AY11" s="40" t="s">
        <v>162</v>
      </c>
      <c r="AZ11" s="40" t="s">
        <v>161</v>
      </c>
      <c r="BA11" s="40" t="s">
        <v>162</v>
      </c>
      <c r="BB11" s="40" t="s">
        <v>161</v>
      </c>
      <c r="BC11" s="40" t="s">
        <v>162</v>
      </c>
      <c r="BD11" s="40" t="s">
        <v>161</v>
      </c>
      <c r="BE11" s="40" t="s">
        <v>162</v>
      </c>
      <c r="BF11" s="40" t="s">
        <v>161</v>
      </c>
      <c r="BG11" s="40" t="s">
        <v>162</v>
      </c>
      <c r="BH11" s="40" t="s">
        <v>161</v>
      </c>
      <c r="BI11" s="40" t="s">
        <v>162</v>
      </c>
      <c r="BJ11" s="40" t="s">
        <v>161</v>
      </c>
      <c r="BK11" s="40" t="s">
        <v>162</v>
      </c>
      <c r="BL11" s="40" t="s">
        <v>161</v>
      </c>
      <c r="BM11" s="40" t="s">
        <v>162</v>
      </c>
      <c r="BN11" s="40" t="s">
        <v>161</v>
      </c>
      <c r="BO11" s="40" t="s">
        <v>162</v>
      </c>
      <c r="BP11" s="40" t="s">
        <v>161</v>
      </c>
      <c r="BQ11" s="40" t="s">
        <v>162</v>
      </c>
    </row>
    <row r="12" spans="1:69" x14ac:dyDescent="0.25">
      <c r="A12" s="65" t="s">
        <v>166</v>
      </c>
      <c r="B12" s="41"/>
      <c r="C12" s="41"/>
      <c r="D12" s="41"/>
      <c r="E12" s="41"/>
      <c r="F12" s="41"/>
      <c r="G12" s="41"/>
      <c r="H12" s="41"/>
      <c r="I12" s="41"/>
      <c r="J12" s="41">
        <v>263886</v>
      </c>
      <c r="K12" s="41">
        <v>1092734</v>
      </c>
      <c r="L12" s="41">
        <v>59320</v>
      </c>
      <c r="M12" s="41">
        <v>260222</v>
      </c>
      <c r="N12" s="41">
        <v>154479</v>
      </c>
      <c r="O12" s="41">
        <v>527224</v>
      </c>
      <c r="P12" s="41"/>
      <c r="Q12" s="41"/>
      <c r="R12" s="41"/>
      <c r="S12" s="41"/>
      <c r="T12" s="41"/>
      <c r="U12" s="41"/>
      <c r="V12" s="41"/>
      <c r="W12" s="41"/>
      <c r="X12" s="41">
        <v>87280</v>
      </c>
      <c r="Y12" s="41">
        <v>332089</v>
      </c>
      <c r="Z12" s="41"/>
      <c r="AA12" s="41"/>
      <c r="AB12" s="41">
        <f>323974+17802</f>
        <v>341776</v>
      </c>
      <c r="AC12" s="41">
        <f>883261+67631</f>
        <v>950892</v>
      </c>
      <c r="AD12" s="41">
        <v>616715</v>
      </c>
      <c r="AE12" s="41">
        <v>2222260</v>
      </c>
      <c r="AF12" s="41">
        <v>373014</v>
      </c>
      <c r="AG12" s="41">
        <v>1028618</v>
      </c>
      <c r="AH12" s="41"/>
      <c r="AI12" s="41"/>
      <c r="AJ12" s="41">
        <v>40311</v>
      </c>
      <c r="AK12" s="41">
        <v>114734</v>
      </c>
      <c r="AL12" s="41">
        <v>26850</v>
      </c>
      <c r="AM12" s="41">
        <v>116996</v>
      </c>
      <c r="AN12" s="41"/>
      <c r="AO12" s="41"/>
      <c r="AP12" s="41">
        <v>539443.10199999996</v>
      </c>
      <c r="AQ12" s="41">
        <v>1384705.2579999999</v>
      </c>
      <c r="AR12" s="41">
        <v>1810426</v>
      </c>
      <c r="AS12" s="41">
        <v>4314019</v>
      </c>
      <c r="AT12" s="41">
        <v>1465067</v>
      </c>
      <c r="AU12" s="41">
        <v>2582372</v>
      </c>
      <c r="AV12" s="41"/>
      <c r="AW12" s="41"/>
      <c r="AX12" s="41">
        <v>219352</v>
      </c>
      <c r="AY12" s="41">
        <v>597919</v>
      </c>
      <c r="AZ12" s="41"/>
      <c r="BA12" s="41"/>
      <c r="BB12" s="41">
        <v>68185</v>
      </c>
      <c r="BC12" s="41">
        <v>190506</v>
      </c>
      <c r="BD12" s="41">
        <v>39386</v>
      </c>
      <c r="BE12" s="41">
        <v>110115</v>
      </c>
      <c r="BF12" s="41">
        <v>3399</v>
      </c>
      <c r="BG12" s="41">
        <v>7290</v>
      </c>
      <c r="BH12" s="41"/>
      <c r="BI12" s="41"/>
      <c r="BJ12" s="41">
        <v>671671</v>
      </c>
      <c r="BK12" s="41">
        <v>2015559</v>
      </c>
      <c r="BL12" s="41">
        <v>638152</v>
      </c>
      <c r="BM12" s="41">
        <v>1722560</v>
      </c>
      <c r="BN12" s="41">
        <v>39021</v>
      </c>
      <c r="BO12" s="41">
        <f>147938+1662</f>
        <v>149600</v>
      </c>
      <c r="BP12" s="41">
        <f>B12+D12+F12+H12+J12+L12+N12+P12+R12+T12+V12+X12+Z12+AB12+AD12+AF12+AH12+AJ12+AL12+AN12+AP12+AR12+AT12+AV12+AX12+AZ12+BB12+BD12+BF12+BH12+BJ12+BL12+BN12</f>
        <v>7457733.102</v>
      </c>
      <c r="BQ12" s="41">
        <f>C12+E12+G12+I12+K12+M12+O12+Q12+S12+U12+W12+Y12+AA12+AC12+AE12+AG12+AI12+AK12+AM12+AO12+AQ12+AS12+AU12+AW12+AY12+BA12+BC12+BE12+BG12+BI12+BK12+BM12+BO12</f>
        <v>19720414.258000001</v>
      </c>
    </row>
    <row r="13" spans="1:69" x14ac:dyDescent="0.25">
      <c r="A13" s="65" t="s">
        <v>167</v>
      </c>
      <c r="B13" s="41"/>
      <c r="C13" s="41"/>
      <c r="D13" s="41"/>
      <c r="E13" s="41"/>
      <c r="F13" s="41"/>
      <c r="G13" s="41"/>
      <c r="H13" s="41"/>
      <c r="I13" s="41"/>
      <c r="J13" s="82">
        <v>148703</v>
      </c>
      <c r="K13" s="41">
        <v>552315</v>
      </c>
      <c r="L13" s="41">
        <v>26111</v>
      </c>
      <c r="M13" s="41">
        <v>134642</v>
      </c>
      <c r="N13" s="41">
        <v>18834</v>
      </c>
      <c r="O13" s="41">
        <v>89451</v>
      </c>
      <c r="P13" s="41"/>
      <c r="Q13" s="41"/>
      <c r="R13" s="41"/>
      <c r="S13" s="41"/>
      <c r="T13" s="41"/>
      <c r="U13" s="41"/>
      <c r="V13" s="41"/>
      <c r="W13" s="41"/>
      <c r="X13" s="41">
        <v>42227</v>
      </c>
      <c r="Y13" s="41">
        <v>244765</v>
      </c>
      <c r="Z13" s="41">
        <v>5</v>
      </c>
      <c r="AA13" s="41">
        <v>5</v>
      </c>
      <c r="AB13" s="41">
        <f>114298+-653</f>
        <v>113645</v>
      </c>
      <c r="AC13" s="41">
        <f>399519+-1034</f>
        <v>398485</v>
      </c>
      <c r="AD13" s="41">
        <v>94524</v>
      </c>
      <c r="AE13" s="41">
        <v>1060780</v>
      </c>
      <c r="AF13" s="41">
        <v>101644</v>
      </c>
      <c r="AG13" s="41">
        <v>314703</v>
      </c>
      <c r="AH13" s="41"/>
      <c r="AI13" s="41"/>
      <c r="AJ13" s="41">
        <v>37433</v>
      </c>
      <c r="AK13" s="41">
        <v>88910</v>
      </c>
      <c r="AL13" s="41">
        <v>1623</v>
      </c>
      <c r="AM13" s="41">
        <v>5592</v>
      </c>
      <c r="AN13" s="41"/>
      <c r="AO13" s="41"/>
      <c r="AP13" s="41">
        <v>196699.02199999994</v>
      </c>
      <c r="AQ13" s="41">
        <v>771346.19199999981</v>
      </c>
      <c r="AR13" s="7">
        <v>657547</v>
      </c>
      <c r="AS13" s="41">
        <v>2261616</v>
      </c>
      <c r="AT13" s="41">
        <v>398560</v>
      </c>
      <c r="AU13" s="41">
        <v>1609051</v>
      </c>
      <c r="AV13" s="41">
        <v>11</v>
      </c>
      <c r="AW13" s="41">
        <v>86</v>
      </c>
      <c r="AX13" s="41">
        <v>14561</v>
      </c>
      <c r="AY13" s="41">
        <v>62783</v>
      </c>
      <c r="AZ13" s="41"/>
      <c r="BA13" s="41"/>
      <c r="BB13" s="43">
        <v>32271</v>
      </c>
      <c r="BC13" s="43">
        <v>74549</v>
      </c>
      <c r="BD13" s="41">
        <v>9114</v>
      </c>
      <c r="BE13" s="41">
        <v>88794</v>
      </c>
      <c r="BF13" s="41">
        <v>3462</v>
      </c>
      <c r="BG13" s="41">
        <v>10703</v>
      </c>
      <c r="BH13" s="41"/>
      <c r="BI13" s="41"/>
      <c r="BJ13" s="41">
        <v>640443</v>
      </c>
      <c r="BK13" s="41">
        <v>1917953</v>
      </c>
      <c r="BL13" s="41">
        <v>204010</v>
      </c>
      <c r="BM13" s="41">
        <v>1764966</v>
      </c>
      <c r="BN13" s="41">
        <f>19791+-17</f>
        <v>19774</v>
      </c>
      <c r="BO13" s="41">
        <f>58587+133</f>
        <v>58720</v>
      </c>
      <c r="BP13" s="41">
        <f>B13+D13+F13+H13+J13+L13+N13+P13+R13+T13+V13+X13+Z13+AB13+AD13+AF13+AH13+AJ13+AL13+AN13+AP13+AS13+AT13+AV13+AX13+AZ13+BB13+BD13+BF13+BH13+BJ13+BL13+BN13</f>
        <v>4365270.0219999999</v>
      </c>
      <c r="BQ13" s="41">
        <f>C13+E13+G13+I13+K13+M13+O13+Q13+S13+U13+W13+Y13+AA13+AC13+AE13+AG13+AI13+AK13+AM13+AO13+AQ13+AS13+AU13+AW13+AY13+BA13+BC13+BE13+BG13+BI13+BK13+BM13+BO13</f>
        <v>11510215.192</v>
      </c>
    </row>
    <row r="14" spans="1:69" x14ac:dyDescent="0.25">
      <c r="J14" s="83"/>
    </row>
    <row r="15" spans="1:69" x14ac:dyDescent="0.25">
      <c r="A15" s="63" t="s">
        <v>129</v>
      </c>
      <c r="J15" s="84"/>
      <c r="BB15" s="81"/>
      <c r="BC15" s="81"/>
    </row>
    <row r="16" spans="1:69" s="12" customFormat="1" x14ac:dyDescent="0.25">
      <c r="A16" s="20" t="s">
        <v>0</v>
      </c>
      <c r="B16" s="160" t="s">
        <v>1</v>
      </c>
      <c r="C16" s="160"/>
      <c r="D16" s="160" t="s">
        <v>2</v>
      </c>
      <c r="E16" s="160"/>
      <c r="F16" s="160" t="s">
        <v>3</v>
      </c>
      <c r="G16" s="160"/>
      <c r="H16" s="160" t="s">
        <v>4</v>
      </c>
      <c r="I16" s="163"/>
      <c r="J16" s="160" t="s">
        <v>5</v>
      </c>
      <c r="K16" s="160"/>
      <c r="L16" s="164" t="s">
        <v>6</v>
      </c>
      <c r="M16" s="160"/>
      <c r="N16" s="160" t="s">
        <v>7</v>
      </c>
      <c r="O16" s="160"/>
      <c r="P16" s="160" t="s">
        <v>8</v>
      </c>
      <c r="Q16" s="160"/>
      <c r="R16" s="160" t="s">
        <v>9</v>
      </c>
      <c r="S16" s="160"/>
      <c r="T16" s="160" t="s">
        <v>10</v>
      </c>
      <c r="U16" s="160"/>
      <c r="V16" s="160" t="s">
        <v>11</v>
      </c>
      <c r="W16" s="160"/>
      <c r="X16" s="160" t="s">
        <v>12</v>
      </c>
      <c r="Y16" s="160"/>
      <c r="Z16" s="160" t="s">
        <v>13</v>
      </c>
      <c r="AA16" s="160"/>
      <c r="AB16" s="160" t="s">
        <v>14</v>
      </c>
      <c r="AC16" s="160"/>
      <c r="AD16" s="160" t="s">
        <v>15</v>
      </c>
      <c r="AE16" s="160"/>
      <c r="AF16" s="160" t="s">
        <v>16</v>
      </c>
      <c r="AG16" s="160"/>
      <c r="AH16" s="160" t="s">
        <v>17</v>
      </c>
      <c r="AI16" s="160"/>
      <c r="AJ16" s="160" t="s">
        <v>18</v>
      </c>
      <c r="AK16" s="160"/>
      <c r="AL16" s="160" t="s">
        <v>19</v>
      </c>
      <c r="AM16" s="160"/>
      <c r="AN16" s="160" t="s">
        <v>20</v>
      </c>
      <c r="AO16" s="160"/>
      <c r="AP16" s="160" t="s">
        <v>21</v>
      </c>
      <c r="AQ16" s="160"/>
      <c r="AR16" s="160" t="s">
        <v>109</v>
      </c>
      <c r="AS16" s="160"/>
      <c r="AT16" s="160" t="s">
        <v>110</v>
      </c>
      <c r="AU16" s="160"/>
      <c r="AV16" s="160" t="s">
        <v>22</v>
      </c>
      <c r="AW16" s="160"/>
      <c r="AX16" s="160" t="s">
        <v>23</v>
      </c>
      <c r="AY16" s="160"/>
      <c r="AZ16" s="160" t="s">
        <v>24</v>
      </c>
      <c r="BA16" s="160"/>
      <c r="BB16" s="160" t="s">
        <v>25</v>
      </c>
      <c r="BC16" s="160"/>
      <c r="BD16" s="160" t="s">
        <v>26</v>
      </c>
      <c r="BE16" s="160"/>
      <c r="BF16" s="160" t="s">
        <v>27</v>
      </c>
      <c r="BG16" s="160"/>
      <c r="BH16" s="160" t="s">
        <v>28</v>
      </c>
      <c r="BI16" s="160"/>
      <c r="BJ16" s="160" t="s">
        <v>29</v>
      </c>
      <c r="BK16" s="160"/>
      <c r="BL16" s="160" t="s">
        <v>30</v>
      </c>
      <c r="BM16" s="160"/>
      <c r="BN16" s="160" t="s">
        <v>31</v>
      </c>
      <c r="BO16" s="160"/>
      <c r="BP16" s="160" t="s">
        <v>150</v>
      </c>
      <c r="BQ16" s="160"/>
    </row>
    <row r="17" spans="1:69" s="39" customFormat="1" ht="44.25" customHeight="1" x14ac:dyDescent="0.25">
      <c r="A17" s="40"/>
      <c r="B17" s="40" t="s">
        <v>161</v>
      </c>
      <c r="C17" s="40" t="s">
        <v>162</v>
      </c>
      <c r="D17" s="40" t="s">
        <v>161</v>
      </c>
      <c r="E17" s="40" t="s">
        <v>162</v>
      </c>
      <c r="F17" s="40" t="s">
        <v>161</v>
      </c>
      <c r="G17" s="40" t="s">
        <v>162</v>
      </c>
      <c r="H17" s="40" t="s">
        <v>161</v>
      </c>
      <c r="I17" s="40" t="s">
        <v>162</v>
      </c>
      <c r="J17" s="40" t="s">
        <v>161</v>
      </c>
      <c r="K17" s="40" t="s">
        <v>162</v>
      </c>
      <c r="L17" s="40" t="s">
        <v>161</v>
      </c>
      <c r="M17" s="40" t="s">
        <v>162</v>
      </c>
      <c r="N17" s="40" t="s">
        <v>161</v>
      </c>
      <c r="O17" s="40" t="s">
        <v>162</v>
      </c>
      <c r="P17" s="40" t="s">
        <v>161</v>
      </c>
      <c r="Q17" s="40" t="s">
        <v>162</v>
      </c>
      <c r="R17" s="40" t="s">
        <v>161</v>
      </c>
      <c r="S17" s="40" t="s">
        <v>162</v>
      </c>
      <c r="T17" s="40" t="s">
        <v>161</v>
      </c>
      <c r="U17" s="40" t="s">
        <v>162</v>
      </c>
      <c r="V17" s="40" t="s">
        <v>161</v>
      </c>
      <c r="W17" s="40" t="s">
        <v>162</v>
      </c>
      <c r="X17" s="40" t="s">
        <v>161</v>
      </c>
      <c r="Y17" s="40" t="s">
        <v>162</v>
      </c>
      <c r="Z17" s="40" t="s">
        <v>161</v>
      </c>
      <c r="AA17" s="40" t="s">
        <v>162</v>
      </c>
      <c r="AB17" s="40" t="s">
        <v>161</v>
      </c>
      <c r="AC17" s="40" t="s">
        <v>162</v>
      </c>
      <c r="AD17" s="40" t="s">
        <v>161</v>
      </c>
      <c r="AE17" s="40" t="s">
        <v>162</v>
      </c>
      <c r="AF17" s="40" t="s">
        <v>161</v>
      </c>
      <c r="AG17" s="40" t="s">
        <v>162</v>
      </c>
      <c r="AH17" s="40" t="s">
        <v>161</v>
      </c>
      <c r="AI17" s="40" t="s">
        <v>162</v>
      </c>
      <c r="AJ17" s="40" t="s">
        <v>161</v>
      </c>
      <c r="AK17" s="40" t="s">
        <v>162</v>
      </c>
      <c r="AL17" s="40" t="s">
        <v>161</v>
      </c>
      <c r="AM17" s="40" t="s">
        <v>162</v>
      </c>
      <c r="AN17" s="40" t="s">
        <v>161</v>
      </c>
      <c r="AO17" s="40" t="s">
        <v>162</v>
      </c>
      <c r="AP17" s="40" t="s">
        <v>161</v>
      </c>
      <c r="AQ17" s="40" t="s">
        <v>162</v>
      </c>
      <c r="AR17" s="40" t="s">
        <v>161</v>
      </c>
      <c r="AS17" s="40" t="s">
        <v>162</v>
      </c>
      <c r="AT17" s="40" t="s">
        <v>161</v>
      </c>
      <c r="AU17" s="40" t="s">
        <v>162</v>
      </c>
      <c r="AV17" s="40" t="s">
        <v>161</v>
      </c>
      <c r="AW17" s="40" t="s">
        <v>162</v>
      </c>
      <c r="AX17" s="40" t="s">
        <v>161</v>
      </c>
      <c r="AY17" s="40" t="s">
        <v>162</v>
      </c>
      <c r="AZ17" s="40" t="s">
        <v>161</v>
      </c>
      <c r="BA17" s="40" t="s">
        <v>162</v>
      </c>
      <c r="BB17" s="40" t="s">
        <v>161</v>
      </c>
      <c r="BC17" s="40" t="s">
        <v>162</v>
      </c>
      <c r="BD17" s="40" t="s">
        <v>161</v>
      </c>
      <c r="BE17" s="40" t="s">
        <v>162</v>
      </c>
      <c r="BF17" s="40" t="s">
        <v>161</v>
      </c>
      <c r="BG17" s="40" t="s">
        <v>162</v>
      </c>
      <c r="BH17" s="40" t="s">
        <v>161</v>
      </c>
      <c r="BI17" s="40" t="s">
        <v>162</v>
      </c>
      <c r="BJ17" s="40" t="s">
        <v>161</v>
      </c>
      <c r="BK17" s="40" t="s">
        <v>162</v>
      </c>
      <c r="BL17" s="40" t="s">
        <v>161</v>
      </c>
      <c r="BM17" s="40" t="s">
        <v>162</v>
      </c>
      <c r="BN17" s="40" t="s">
        <v>161</v>
      </c>
      <c r="BO17" s="40" t="s">
        <v>162</v>
      </c>
      <c r="BP17" s="40" t="s">
        <v>161</v>
      </c>
      <c r="BQ17" s="40" t="s">
        <v>162</v>
      </c>
    </row>
    <row r="18" spans="1:69" x14ac:dyDescent="0.25">
      <c r="A18" s="65" t="s">
        <v>166</v>
      </c>
      <c r="B18" s="41"/>
      <c r="C18" s="41"/>
      <c r="D18" s="41"/>
      <c r="E18" s="41"/>
      <c r="F18" s="41"/>
      <c r="G18" s="41"/>
      <c r="H18" s="41"/>
      <c r="I18" s="41"/>
      <c r="J18" s="41">
        <v>5096798</v>
      </c>
      <c r="K18" s="41">
        <v>16160265</v>
      </c>
      <c r="L18" s="41">
        <v>1415675</v>
      </c>
      <c r="M18" s="41">
        <v>7021162</v>
      </c>
      <c r="N18" s="41">
        <v>3458773</v>
      </c>
      <c r="O18" s="41">
        <v>11803767</v>
      </c>
      <c r="P18" s="41"/>
      <c r="Q18" s="41"/>
      <c r="R18" s="41"/>
      <c r="S18" s="41"/>
      <c r="T18" s="41"/>
      <c r="U18" s="41"/>
      <c r="V18" s="41"/>
      <c r="W18" s="41"/>
      <c r="X18" s="41">
        <f>746392+292691</f>
        <v>1039083</v>
      </c>
      <c r="Y18" s="41">
        <f>3123081+914779</f>
        <v>4037860</v>
      </c>
      <c r="Z18" s="41">
        <v>782</v>
      </c>
      <c r="AA18" s="41">
        <v>782</v>
      </c>
      <c r="AB18" s="41">
        <f>2425174+1181051</f>
        <v>3606225</v>
      </c>
      <c r="AC18" s="41">
        <f>8536673+3750011</f>
        <v>12286684</v>
      </c>
      <c r="AD18" s="41">
        <v>6103691</v>
      </c>
      <c r="AE18" s="41">
        <v>22969680</v>
      </c>
      <c r="AF18" s="41">
        <v>6098127</v>
      </c>
      <c r="AG18" s="41">
        <v>17012967</v>
      </c>
      <c r="AH18" s="41">
        <v>94254</v>
      </c>
      <c r="AI18" s="41">
        <v>313088</v>
      </c>
      <c r="AJ18" s="41">
        <f>426280+112507</f>
        <v>538787</v>
      </c>
      <c r="AK18" s="41">
        <f>1551143+216869</f>
        <v>1768012</v>
      </c>
      <c r="AL18" s="41">
        <v>505789</v>
      </c>
      <c r="AM18" s="41">
        <v>1481378</v>
      </c>
      <c r="AN18" s="41"/>
      <c r="AO18" s="41"/>
      <c r="AP18" s="41">
        <v>16134161.081</v>
      </c>
      <c r="AQ18" s="41">
        <v>41681037.156000003</v>
      </c>
      <c r="AR18" s="41">
        <v>18465472</v>
      </c>
      <c r="AS18" s="41">
        <v>58766907</v>
      </c>
      <c r="AT18" s="41">
        <v>10001755</v>
      </c>
      <c r="AU18" s="41">
        <v>29974880</v>
      </c>
      <c r="AV18" s="41">
        <f>4771+79</f>
        <v>4850</v>
      </c>
      <c r="AW18" s="41">
        <f>16073+301</f>
        <v>16374</v>
      </c>
      <c r="AX18" s="41">
        <v>3789243</v>
      </c>
      <c r="AY18" s="41">
        <v>12859277</v>
      </c>
      <c r="AZ18" s="41"/>
      <c r="BA18" s="41"/>
      <c r="BB18" s="41">
        <v>3223505</v>
      </c>
      <c r="BC18" s="41">
        <v>10478184</v>
      </c>
      <c r="BD18" s="41">
        <v>1552630</v>
      </c>
      <c r="BE18" s="41">
        <v>4849075</v>
      </c>
      <c r="BF18" s="41">
        <v>4014263</v>
      </c>
      <c r="BG18" s="41">
        <v>10646696</v>
      </c>
      <c r="BH18" s="41"/>
      <c r="BI18" s="41"/>
      <c r="BJ18" s="41">
        <v>3390553</v>
      </c>
      <c r="BK18" s="41">
        <v>10937927</v>
      </c>
      <c r="BL18" s="41">
        <v>12573286</v>
      </c>
      <c r="BM18" s="41">
        <v>38150127</v>
      </c>
      <c r="BN18" s="41">
        <f>648698+240105</f>
        <v>888803</v>
      </c>
      <c r="BO18" s="7">
        <f>1901568+888601</f>
        <v>2790169</v>
      </c>
      <c r="BP18" s="41">
        <f>B18+D18+F18+H18+J18+L18+N18+P18+R18+T18+V18+X18+Z18+AB18+AD18+AF18+AH18+AJ18+AL18+AN18+AP18+AR18+AT18+AV18+AX18+AZ18+BB18+BD18+BF18+BH18+BJ18+BL18+BN18</f>
        <v>101996505.081</v>
      </c>
      <c r="BQ18" s="41">
        <f>C18+E18+G18+I18+K18+M18+O18+Q18+S18+U18+W18+Y18+AA18+AC18+AE18+AG18+AI18+AK18+AM18+AO18+AQ18+AS18+AU18+AW18+AY18+BA18+BC18+BE18+BG18+BI18+BK18+BM18+BN18</f>
        <v>314104932.15600002</v>
      </c>
    </row>
    <row r="19" spans="1:69" x14ac:dyDescent="0.25">
      <c r="A19" s="65" t="s">
        <v>167</v>
      </c>
      <c r="B19" s="41">
        <v>478.43799999999999</v>
      </c>
      <c r="C19" s="41">
        <v>487.48</v>
      </c>
      <c r="D19" s="41"/>
      <c r="E19" s="41"/>
      <c r="F19" s="41"/>
      <c r="G19" s="41"/>
      <c r="H19" s="41"/>
      <c r="I19" s="41"/>
      <c r="J19" s="41">
        <v>5445427</v>
      </c>
      <c r="K19" s="41">
        <v>22780567</v>
      </c>
      <c r="L19" s="41">
        <v>1850442</v>
      </c>
      <c r="M19" s="41">
        <v>8255954</v>
      </c>
      <c r="N19" s="41">
        <v>4651627</v>
      </c>
      <c r="O19" s="41">
        <v>18052347</v>
      </c>
      <c r="P19" s="41"/>
      <c r="Q19" s="41"/>
      <c r="R19" s="41"/>
      <c r="S19" s="41"/>
      <c r="T19" s="41"/>
      <c r="U19" s="41"/>
      <c r="V19" s="41"/>
      <c r="W19" s="41"/>
      <c r="X19" s="41">
        <f>671407+1170241</f>
        <v>1841648</v>
      </c>
      <c r="Y19" s="41">
        <f>2337109+3927933</f>
        <v>6265042</v>
      </c>
      <c r="Z19" s="41">
        <v>56608</v>
      </c>
      <c r="AA19" s="41">
        <v>57047</v>
      </c>
      <c r="AB19" s="41">
        <f>1144298+2686499</f>
        <v>3830797</v>
      </c>
      <c r="AC19" s="41">
        <f>6158239+6639859</f>
        <v>12798098</v>
      </c>
      <c r="AD19" s="41">
        <v>8612755</v>
      </c>
      <c r="AE19" s="41">
        <v>32078927</v>
      </c>
      <c r="AF19" s="41">
        <v>4801890</v>
      </c>
      <c r="AG19" s="41">
        <v>18439183</v>
      </c>
      <c r="AH19" s="41">
        <v>232372</v>
      </c>
      <c r="AI19" s="41">
        <v>746784</v>
      </c>
      <c r="AJ19" s="41">
        <f>409451+547724</f>
        <v>957175</v>
      </c>
      <c r="AK19" s="41">
        <f>1510871+1565267</f>
        <v>3076138</v>
      </c>
      <c r="AL19" s="41">
        <v>659959</v>
      </c>
      <c r="AM19" s="41">
        <v>2618626</v>
      </c>
      <c r="AN19" s="41"/>
      <c r="AO19" s="41"/>
      <c r="AP19" s="41">
        <v>22566037.128000006</v>
      </c>
      <c r="AQ19" s="41">
        <v>60937627.401999995</v>
      </c>
      <c r="AR19" s="41">
        <v>17370273</v>
      </c>
      <c r="AS19" s="41">
        <v>72305821</v>
      </c>
      <c r="AT19" s="41">
        <v>1263194</v>
      </c>
      <c r="AU19" s="41">
        <v>27278513</v>
      </c>
      <c r="AV19" s="41">
        <f>97385+-134</f>
        <v>97251</v>
      </c>
      <c r="AW19" s="41">
        <f>378826+551</f>
        <v>379377</v>
      </c>
      <c r="AX19" s="41">
        <v>4037270</v>
      </c>
      <c r="AY19" s="41">
        <v>14138685</v>
      </c>
      <c r="AZ19" s="41"/>
      <c r="BA19" s="41"/>
      <c r="BB19" s="41">
        <v>3559416</v>
      </c>
      <c r="BC19" s="41">
        <v>13765782</v>
      </c>
      <c r="BD19" s="41">
        <v>2195208</v>
      </c>
      <c r="BE19" s="41">
        <v>6772055</v>
      </c>
      <c r="BF19" s="41">
        <v>4249098</v>
      </c>
      <c r="BG19" s="41">
        <v>17165568</v>
      </c>
      <c r="BH19" s="41"/>
      <c r="BI19" s="41"/>
      <c r="BJ19" s="41">
        <v>3384738</v>
      </c>
      <c r="BK19" s="41">
        <v>15854302</v>
      </c>
      <c r="BL19" s="41">
        <v>18648949</v>
      </c>
      <c r="BM19" s="41">
        <v>52721069</v>
      </c>
      <c r="BN19" s="41">
        <f>624262+694710</f>
        <v>1318972</v>
      </c>
      <c r="BO19" s="41">
        <f>2080491+1587638</f>
        <v>3668129</v>
      </c>
      <c r="BP19" s="41">
        <f>B19+D19+F19+H19+J19+L19+N19+P19+R19+T19+V19+X19+Z19+AB19+AD19+AF19+AH19+AJ19+AL19+AN19+AP19+AR19+AT19+AV19+AX19+AZ19+BB19+BD19+BF19+BH19+BJ19+BL19+BN19</f>
        <v>111631584.56600001</v>
      </c>
      <c r="BQ19" s="41">
        <f>C19+E19+G19+I19+K19+M19+O19+Q19+S19+U19+W19+Y19+AA19+AC19+AE19+AG19+AI19+AK19+AM19+AO19+AQ19+AS19+AU19+AW19+AY19+BA19+BC19+BE19+BG19+BI19+BK19+BM19+BO19</f>
        <v>410156128.88199997</v>
      </c>
    </row>
    <row r="21" spans="1:69" x14ac:dyDescent="0.25">
      <c r="A21" s="63" t="s">
        <v>105</v>
      </c>
    </row>
    <row r="22" spans="1:69" s="12" customFormat="1" x14ac:dyDescent="0.25">
      <c r="A22" s="20" t="s">
        <v>0</v>
      </c>
      <c r="B22" s="160" t="s">
        <v>1</v>
      </c>
      <c r="C22" s="160"/>
      <c r="D22" s="160" t="s">
        <v>2</v>
      </c>
      <c r="E22" s="160"/>
      <c r="F22" s="160" t="s">
        <v>3</v>
      </c>
      <c r="G22" s="160"/>
      <c r="H22" s="160" t="s">
        <v>4</v>
      </c>
      <c r="I22" s="160"/>
      <c r="J22" s="161"/>
      <c r="K22" s="162"/>
      <c r="L22" s="160" t="s">
        <v>6</v>
      </c>
      <c r="M22" s="160"/>
      <c r="N22" s="160" t="s">
        <v>7</v>
      </c>
      <c r="O22" s="160"/>
      <c r="P22" s="160" t="s">
        <v>8</v>
      </c>
      <c r="Q22" s="160"/>
      <c r="R22" s="160" t="s">
        <v>9</v>
      </c>
      <c r="S22" s="160"/>
      <c r="T22" s="160" t="s">
        <v>10</v>
      </c>
      <c r="U22" s="160"/>
      <c r="V22" s="160" t="s">
        <v>11</v>
      </c>
      <c r="W22" s="160"/>
      <c r="X22" s="160" t="s">
        <v>12</v>
      </c>
      <c r="Y22" s="160"/>
      <c r="Z22" s="160" t="s">
        <v>13</v>
      </c>
      <c r="AA22" s="160"/>
      <c r="AB22" s="160" t="s">
        <v>14</v>
      </c>
      <c r="AC22" s="160"/>
      <c r="AD22" s="160" t="s">
        <v>15</v>
      </c>
      <c r="AE22" s="160"/>
      <c r="AF22" s="160" t="s">
        <v>16</v>
      </c>
      <c r="AG22" s="160"/>
      <c r="AH22" s="160" t="s">
        <v>17</v>
      </c>
      <c r="AI22" s="160"/>
      <c r="AJ22" s="160" t="s">
        <v>18</v>
      </c>
      <c r="AK22" s="160"/>
      <c r="AL22" s="160" t="s">
        <v>19</v>
      </c>
      <c r="AM22" s="160"/>
      <c r="AN22" s="160" t="s">
        <v>20</v>
      </c>
      <c r="AO22" s="160"/>
      <c r="AP22" s="160" t="s">
        <v>21</v>
      </c>
      <c r="AQ22" s="160"/>
      <c r="AR22" s="160" t="s">
        <v>109</v>
      </c>
      <c r="AS22" s="160"/>
      <c r="AT22" s="160" t="s">
        <v>110</v>
      </c>
      <c r="AU22" s="160"/>
      <c r="AV22" s="160" t="s">
        <v>22</v>
      </c>
      <c r="AW22" s="160"/>
      <c r="AX22" s="160" t="s">
        <v>23</v>
      </c>
      <c r="AY22" s="160"/>
      <c r="AZ22" s="160" t="s">
        <v>24</v>
      </c>
      <c r="BA22" s="160"/>
      <c r="BB22" s="160" t="s">
        <v>25</v>
      </c>
      <c r="BC22" s="160"/>
      <c r="BD22" s="160" t="s">
        <v>26</v>
      </c>
      <c r="BE22" s="160"/>
      <c r="BF22" s="160" t="s">
        <v>27</v>
      </c>
      <c r="BG22" s="160"/>
      <c r="BH22" s="160" t="s">
        <v>28</v>
      </c>
      <c r="BI22" s="160"/>
      <c r="BJ22" s="160" t="s">
        <v>29</v>
      </c>
      <c r="BK22" s="160"/>
      <c r="BL22" s="160" t="s">
        <v>30</v>
      </c>
      <c r="BM22" s="160"/>
      <c r="BN22" s="160" t="s">
        <v>31</v>
      </c>
      <c r="BO22" s="160"/>
      <c r="BP22" s="160" t="s">
        <v>150</v>
      </c>
      <c r="BQ22" s="160"/>
    </row>
    <row r="23" spans="1:69" s="39" customFormat="1" ht="44.25" customHeight="1" x14ac:dyDescent="0.25">
      <c r="A23" s="40"/>
      <c r="B23" s="40" t="s">
        <v>161</v>
      </c>
      <c r="C23" s="40" t="s">
        <v>162</v>
      </c>
      <c r="D23" s="40" t="s">
        <v>161</v>
      </c>
      <c r="E23" s="40" t="s">
        <v>162</v>
      </c>
      <c r="F23" s="40" t="s">
        <v>161</v>
      </c>
      <c r="G23" s="40" t="s">
        <v>162</v>
      </c>
      <c r="H23" s="40" t="s">
        <v>161</v>
      </c>
      <c r="I23" s="40" t="s">
        <v>162</v>
      </c>
      <c r="J23" s="40" t="s">
        <v>161</v>
      </c>
      <c r="K23" s="40" t="s">
        <v>162</v>
      </c>
      <c r="L23" s="40" t="s">
        <v>161</v>
      </c>
      <c r="M23" s="40" t="s">
        <v>162</v>
      </c>
      <c r="N23" s="40" t="s">
        <v>161</v>
      </c>
      <c r="O23" s="40" t="s">
        <v>162</v>
      </c>
      <c r="P23" s="40" t="s">
        <v>161</v>
      </c>
      <c r="Q23" s="40" t="s">
        <v>162</v>
      </c>
      <c r="R23" s="40" t="s">
        <v>161</v>
      </c>
      <c r="S23" s="40" t="s">
        <v>162</v>
      </c>
      <c r="T23" s="40" t="s">
        <v>161</v>
      </c>
      <c r="U23" s="40" t="s">
        <v>162</v>
      </c>
      <c r="V23" s="40" t="s">
        <v>161</v>
      </c>
      <c r="W23" s="40" t="s">
        <v>162</v>
      </c>
      <c r="X23" s="40" t="s">
        <v>161</v>
      </c>
      <c r="Y23" s="40" t="s">
        <v>162</v>
      </c>
      <c r="Z23" s="40" t="s">
        <v>161</v>
      </c>
      <c r="AA23" s="40" t="s">
        <v>162</v>
      </c>
      <c r="AB23" s="40" t="s">
        <v>161</v>
      </c>
      <c r="AC23" s="40" t="s">
        <v>162</v>
      </c>
      <c r="AD23" s="40" t="s">
        <v>161</v>
      </c>
      <c r="AE23" s="40" t="s">
        <v>162</v>
      </c>
      <c r="AF23" s="40" t="s">
        <v>161</v>
      </c>
      <c r="AG23" s="40" t="s">
        <v>162</v>
      </c>
      <c r="AH23" s="40" t="s">
        <v>161</v>
      </c>
      <c r="AI23" s="40" t="s">
        <v>162</v>
      </c>
      <c r="AJ23" s="40" t="s">
        <v>161</v>
      </c>
      <c r="AK23" s="40" t="s">
        <v>162</v>
      </c>
      <c r="AL23" s="40" t="s">
        <v>161</v>
      </c>
      <c r="AM23" s="40" t="s">
        <v>162</v>
      </c>
      <c r="AN23" s="40" t="s">
        <v>161</v>
      </c>
      <c r="AO23" s="40" t="s">
        <v>162</v>
      </c>
      <c r="AP23" s="40" t="s">
        <v>161</v>
      </c>
      <c r="AQ23" s="40" t="s">
        <v>162</v>
      </c>
      <c r="AR23" s="40" t="s">
        <v>161</v>
      </c>
      <c r="AS23" s="40" t="s">
        <v>162</v>
      </c>
      <c r="AT23" s="40" t="s">
        <v>161</v>
      </c>
      <c r="AU23" s="40" t="s">
        <v>162</v>
      </c>
      <c r="AV23" s="40" t="s">
        <v>161</v>
      </c>
      <c r="AW23" s="40" t="s">
        <v>162</v>
      </c>
      <c r="AX23" s="40" t="s">
        <v>161</v>
      </c>
      <c r="AY23" s="40" t="s">
        <v>162</v>
      </c>
      <c r="AZ23" s="40" t="s">
        <v>161</v>
      </c>
      <c r="BA23" s="40" t="s">
        <v>162</v>
      </c>
      <c r="BB23" s="40" t="s">
        <v>161</v>
      </c>
      <c r="BC23" s="40" t="s">
        <v>162</v>
      </c>
      <c r="BD23" s="40" t="s">
        <v>161</v>
      </c>
      <c r="BE23" s="40" t="s">
        <v>162</v>
      </c>
      <c r="BF23" s="40" t="s">
        <v>161</v>
      </c>
      <c r="BG23" s="40" t="s">
        <v>162</v>
      </c>
      <c r="BH23" s="40" t="s">
        <v>161</v>
      </c>
      <c r="BI23" s="40" t="s">
        <v>162</v>
      </c>
      <c r="BJ23" s="40" t="s">
        <v>161</v>
      </c>
      <c r="BK23" s="40" t="s">
        <v>162</v>
      </c>
      <c r="BL23" s="40" t="s">
        <v>161</v>
      </c>
      <c r="BM23" s="40" t="s">
        <v>162</v>
      </c>
      <c r="BN23" s="40" t="s">
        <v>161</v>
      </c>
      <c r="BO23" s="40" t="s">
        <v>162</v>
      </c>
      <c r="BP23" s="40" t="s">
        <v>161</v>
      </c>
      <c r="BQ23" s="40" t="s">
        <v>162</v>
      </c>
    </row>
    <row r="24" spans="1:69" x14ac:dyDescent="0.25">
      <c r="A24" s="65" t="s">
        <v>166</v>
      </c>
      <c r="B24" s="41"/>
      <c r="C24" s="41"/>
      <c r="D24" s="41"/>
      <c r="E24" s="41"/>
      <c r="F24" s="41"/>
      <c r="G24" s="41"/>
      <c r="H24" s="41"/>
      <c r="I24" s="41"/>
      <c r="J24" s="41">
        <v>130766</v>
      </c>
      <c r="K24" s="41">
        <v>476138</v>
      </c>
      <c r="L24" s="41">
        <v>23880</v>
      </c>
      <c r="M24" s="41">
        <v>157643</v>
      </c>
      <c r="N24" s="41">
        <v>27954</v>
      </c>
      <c r="O24" s="41">
        <v>79839</v>
      </c>
      <c r="P24" s="41"/>
      <c r="Q24" s="41"/>
      <c r="R24" s="41"/>
      <c r="S24" s="41"/>
      <c r="T24" s="41"/>
      <c r="U24" s="41"/>
      <c r="V24" s="41"/>
      <c r="W24" s="41"/>
      <c r="X24" s="41">
        <v>25270</v>
      </c>
      <c r="Y24" s="41">
        <v>101025</v>
      </c>
      <c r="Z24" s="41"/>
      <c r="AA24" s="41"/>
      <c r="AB24" s="41">
        <v>116845</v>
      </c>
      <c r="AC24" s="41">
        <v>518038</v>
      </c>
      <c r="AD24" s="41">
        <v>305954</v>
      </c>
      <c r="AE24" s="41">
        <v>990783</v>
      </c>
      <c r="AF24" s="41">
        <v>172966</v>
      </c>
      <c r="AG24" s="41">
        <v>351346</v>
      </c>
      <c r="AH24" s="41"/>
      <c r="AI24" s="41"/>
      <c r="AJ24" s="41">
        <v>16161</v>
      </c>
      <c r="AK24" s="41">
        <v>70863</v>
      </c>
      <c r="AL24" s="41">
        <v>1479</v>
      </c>
      <c r="AM24" s="41">
        <v>5268</v>
      </c>
      <c r="AN24" s="41"/>
      <c r="AO24" s="41"/>
      <c r="AP24" s="41">
        <v>1407769.682</v>
      </c>
      <c r="AQ24" s="41">
        <v>2032213.8640000001</v>
      </c>
      <c r="AR24" s="41">
        <v>875261</v>
      </c>
      <c r="AS24" s="41">
        <v>2455607</v>
      </c>
      <c r="AT24" s="41">
        <v>532341</v>
      </c>
      <c r="AU24" s="41">
        <v>1406196</v>
      </c>
      <c r="AV24" s="41"/>
      <c r="AW24" s="41"/>
      <c r="AX24" s="41">
        <v>328892</v>
      </c>
      <c r="AY24" s="41">
        <v>529760</v>
      </c>
      <c r="AZ24" s="41"/>
      <c r="BA24" s="41"/>
      <c r="BB24" s="41">
        <v>32924</v>
      </c>
      <c r="BC24" s="41">
        <v>147314</v>
      </c>
      <c r="BD24" s="41">
        <v>16925</v>
      </c>
      <c r="BE24" s="41">
        <v>85052</v>
      </c>
      <c r="BF24" s="41">
        <v>6568</v>
      </c>
      <c r="BG24" s="41">
        <v>27677</v>
      </c>
      <c r="BH24" s="41"/>
      <c r="BI24" s="41"/>
      <c r="BJ24" s="41">
        <v>159274</v>
      </c>
      <c r="BK24" s="41">
        <v>733169</v>
      </c>
      <c r="BL24" s="41">
        <v>609769</v>
      </c>
      <c r="BM24" s="41">
        <v>1600403</v>
      </c>
      <c r="BN24" s="41">
        <v>25388</v>
      </c>
      <c r="BO24" s="41">
        <v>57659</v>
      </c>
      <c r="BP24" s="41">
        <f>B24+D24+F24+H24+J24+L24+N24+P24+R24+T24+V24+X24+Z24+AB24+AD24+AF24+AH24+AJ24+AL24+AN24+AP24+AR24+AT24+AV24+AX24+AZ24+BB24+BD24+BF24+BH24+BJ24+BL24+BN24</f>
        <v>4816386.682</v>
      </c>
      <c r="BQ24" s="41">
        <f>C24+E24+G24+I24+K24+M24+O24+Q24+S24+U24+W24+Y24+AA24+AC24+AE24+AG24+AI24+AK24+AM24+AO24+AQ24+AS24+AU24+AW24+AY24+BA24+BC24+BE24+BG24+BI24+BK24+BM24+BO24</f>
        <v>11825993.864</v>
      </c>
    </row>
    <row r="25" spans="1:69" x14ac:dyDescent="0.25">
      <c r="A25" s="65" t="s">
        <v>167</v>
      </c>
      <c r="B25" s="41"/>
      <c r="C25" s="41"/>
      <c r="D25" s="41"/>
      <c r="E25" s="41"/>
      <c r="F25" s="41"/>
      <c r="G25" s="41"/>
      <c r="H25" s="41"/>
      <c r="I25" s="41"/>
      <c r="J25" s="41">
        <v>2067</v>
      </c>
      <c r="K25" s="41">
        <v>76165</v>
      </c>
      <c r="L25" s="41">
        <v>10737</v>
      </c>
      <c r="M25" s="41">
        <v>46160</v>
      </c>
      <c r="N25" s="41">
        <v>3366</v>
      </c>
      <c r="O25" s="41">
        <v>20287</v>
      </c>
      <c r="P25" s="41"/>
      <c r="Q25" s="41"/>
      <c r="R25" s="41"/>
      <c r="S25" s="41"/>
      <c r="T25" s="41"/>
      <c r="U25" s="41"/>
      <c r="V25" s="41"/>
      <c r="W25" s="41"/>
      <c r="X25" s="41">
        <v>12036</v>
      </c>
      <c r="Y25" s="41">
        <v>26396</v>
      </c>
      <c r="Z25" s="41">
        <v>2</v>
      </c>
      <c r="AA25" s="41">
        <v>2</v>
      </c>
      <c r="AB25" s="41">
        <v>48040</v>
      </c>
      <c r="AC25" s="41">
        <v>158702</v>
      </c>
      <c r="AD25" s="41">
        <v>-64179</v>
      </c>
      <c r="AE25" s="41">
        <v>178095</v>
      </c>
      <c r="AF25" s="41">
        <v>11567</v>
      </c>
      <c r="AG25" s="41">
        <v>110281</v>
      </c>
      <c r="AH25" s="41">
        <v>6</v>
      </c>
      <c r="AI25" s="41">
        <v>169</v>
      </c>
      <c r="AJ25" s="41">
        <v>4380</v>
      </c>
      <c r="AK25" s="41">
        <v>37398</v>
      </c>
      <c r="AL25" s="41">
        <v>1909</v>
      </c>
      <c r="AM25" s="41">
        <v>-2856</v>
      </c>
      <c r="AN25" s="41"/>
      <c r="AO25" s="41"/>
      <c r="AP25" s="41">
        <v>349826.70600000001</v>
      </c>
      <c r="AQ25" s="41">
        <v>866634.0849999995</v>
      </c>
      <c r="AR25" s="41">
        <v>110509</v>
      </c>
      <c r="AS25" s="41">
        <v>1498989</v>
      </c>
      <c r="AT25" s="41">
        <v>48865</v>
      </c>
      <c r="AU25" s="41">
        <v>423278</v>
      </c>
      <c r="AV25" s="41">
        <v>-158</v>
      </c>
      <c r="AW25" s="41">
        <v>82</v>
      </c>
      <c r="AX25" s="41">
        <v>4719</v>
      </c>
      <c r="AY25" s="41">
        <v>133514</v>
      </c>
      <c r="AZ25" s="41"/>
      <c r="BA25" s="41"/>
      <c r="BB25" s="41">
        <v>11903</v>
      </c>
      <c r="BC25" s="41">
        <v>38709</v>
      </c>
      <c r="BD25" s="41">
        <v>1170</v>
      </c>
      <c r="BE25" s="41">
        <v>30602</v>
      </c>
      <c r="BF25" s="41">
        <v>-2096</v>
      </c>
      <c r="BG25" s="41">
        <v>36005</v>
      </c>
      <c r="BH25" s="41"/>
      <c r="BI25" s="41"/>
      <c r="BJ25" s="41">
        <v>22897</v>
      </c>
      <c r="BK25" s="41">
        <v>70732</v>
      </c>
      <c r="BL25" s="41">
        <v>-854912</v>
      </c>
      <c r="BM25" s="41">
        <v>788611</v>
      </c>
      <c r="BN25" s="41">
        <v>1245</v>
      </c>
      <c r="BO25" s="41">
        <v>18387</v>
      </c>
      <c r="BP25" s="41">
        <f>B25+D25+F25+H25+J25+L25+N25+P25+R25+T25+V25+X25+Z25+AB25+AD25+AF25+AH25+AJ25+AL25+AN25+AP25+AR25+AT25+AV25+AX25+AZ25+BB25+BD25+BF25+BH25+BJ25+BL25+BN25</f>
        <v>-276100.29399999999</v>
      </c>
      <c r="BQ25" s="41">
        <f>C25+E25+G25+I25+K25+M25+O25+Q25+S25+U25+W25+Y25+AA25+AC25+AE25+AG25+AI25+AK25+AM25+AO25+AQ25+AS25+AU25+AW25+AY25+BA25+BC25+BE25+BG25+BI25+BK25+BM25+BO25</f>
        <v>4556342.084999999</v>
      </c>
    </row>
    <row r="27" spans="1:69" x14ac:dyDescent="0.25">
      <c r="A27" s="63" t="s">
        <v>130</v>
      </c>
    </row>
    <row r="28" spans="1:69" s="12" customFormat="1" x14ac:dyDescent="0.25">
      <c r="A28" s="20" t="s">
        <v>0</v>
      </c>
      <c r="B28" s="160" t="s">
        <v>1</v>
      </c>
      <c r="C28" s="160"/>
      <c r="D28" s="160" t="s">
        <v>2</v>
      </c>
      <c r="E28" s="160"/>
      <c r="F28" s="160" t="s">
        <v>3</v>
      </c>
      <c r="G28" s="160"/>
      <c r="H28" s="160" t="s">
        <v>4</v>
      </c>
      <c r="I28" s="160"/>
      <c r="J28" s="160" t="s">
        <v>5</v>
      </c>
      <c r="K28" s="160"/>
      <c r="L28" s="160" t="s">
        <v>6</v>
      </c>
      <c r="M28" s="160"/>
      <c r="N28" s="160" t="s">
        <v>7</v>
      </c>
      <c r="O28" s="160"/>
      <c r="P28" s="160" t="s">
        <v>8</v>
      </c>
      <c r="Q28" s="160"/>
      <c r="R28" s="160" t="s">
        <v>9</v>
      </c>
      <c r="S28" s="160"/>
      <c r="T28" s="160" t="s">
        <v>10</v>
      </c>
      <c r="U28" s="160"/>
      <c r="V28" s="160" t="s">
        <v>11</v>
      </c>
      <c r="W28" s="160"/>
      <c r="X28" s="160" t="s">
        <v>12</v>
      </c>
      <c r="Y28" s="160"/>
      <c r="Z28" s="160" t="s">
        <v>13</v>
      </c>
      <c r="AA28" s="160"/>
      <c r="AB28" s="160" t="s">
        <v>14</v>
      </c>
      <c r="AC28" s="160"/>
      <c r="AD28" s="160" t="s">
        <v>15</v>
      </c>
      <c r="AE28" s="160"/>
      <c r="AF28" s="160" t="s">
        <v>16</v>
      </c>
      <c r="AG28" s="160"/>
      <c r="AH28" s="160" t="s">
        <v>17</v>
      </c>
      <c r="AI28" s="160"/>
      <c r="AJ28" s="160" t="s">
        <v>18</v>
      </c>
      <c r="AK28" s="160"/>
      <c r="AL28" s="160" t="s">
        <v>19</v>
      </c>
      <c r="AM28" s="160"/>
      <c r="AN28" s="160" t="s">
        <v>20</v>
      </c>
      <c r="AO28" s="160"/>
      <c r="AP28" s="160" t="s">
        <v>21</v>
      </c>
      <c r="AQ28" s="160"/>
      <c r="AR28" s="160" t="s">
        <v>109</v>
      </c>
      <c r="AS28" s="160"/>
      <c r="AT28" s="160" t="s">
        <v>110</v>
      </c>
      <c r="AU28" s="160"/>
      <c r="AV28" s="160" t="s">
        <v>22</v>
      </c>
      <c r="AW28" s="160"/>
      <c r="AX28" s="160" t="s">
        <v>23</v>
      </c>
      <c r="AY28" s="160"/>
      <c r="AZ28" s="160" t="s">
        <v>24</v>
      </c>
      <c r="BA28" s="160"/>
      <c r="BB28" s="160" t="s">
        <v>25</v>
      </c>
      <c r="BC28" s="160"/>
      <c r="BD28" s="160" t="s">
        <v>26</v>
      </c>
      <c r="BE28" s="160"/>
      <c r="BF28" s="160" t="s">
        <v>27</v>
      </c>
      <c r="BG28" s="160"/>
      <c r="BH28" s="160" t="s">
        <v>28</v>
      </c>
      <c r="BI28" s="160"/>
      <c r="BJ28" s="160" t="s">
        <v>29</v>
      </c>
      <c r="BK28" s="160"/>
      <c r="BL28" s="160" t="s">
        <v>30</v>
      </c>
      <c r="BM28" s="160"/>
      <c r="BN28" s="160" t="s">
        <v>31</v>
      </c>
      <c r="BO28" s="160"/>
      <c r="BP28" s="160" t="s">
        <v>150</v>
      </c>
      <c r="BQ28" s="160"/>
    </row>
    <row r="29" spans="1:69" s="39" customFormat="1" ht="44.25" customHeight="1" x14ac:dyDescent="0.25">
      <c r="A29" s="40"/>
      <c r="B29" s="40" t="s">
        <v>161</v>
      </c>
      <c r="C29" s="40" t="s">
        <v>162</v>
      </c>
      <c r="D29" s="40" t="s">
        <v>161</v>
      </c>
      <c r="E29" s="40" t="s">
        <v>162</v>
      </c>
      <c r="F29" s="40" t="s">
        <v>161</v>
      </c>
      <c r="G29" s="40" t="s">
        <v>162</v>
      </c>
      <c r="H29" s="40" t="s">
        <v>161</v>
      </c>
      <c r="I29" s="40" t="s">
        <v>162</v>
      </c>
      <c r="J29" s="40" t="s">
        <v>161</v>
      </c>
      <c r="K29" s="40" t="s">
        <v>162</v>
      </c>
      <c r="L29" s="40" t="s">
        <v>161</v>
      </c>
      <c r="M29" s="40" t="s">
        <v>162</v>
      </c>
      <c r="N29" s="40" t="s">
        <v>161</v>
      </c>
      <c r="O29" s="40" t="s">
        <v>162</v>
      </c>
      <c r="P29" s="40" t="s">
        <v>161</v>
      </c>
      <c r="Q29" s="40" t="s">
        <v>162</v>
      </c>
      <c r="R29" s="40" t="s">
        <v>161</v>
      </c>
      <c r="S29" s="40" t="s">
        <v>162</v>
      </c>
      <c r="T29" s="40" t="s">
        <v>161</v>
      </c>
      <c r="U29" s="40" t="s">
        <v>162</v>
      </c>
      <c r="V29" s="40" t="s">
        <v>161</v>
      </c>
      <c r="W29" s="40" t="s">
        <v>162</v>
      </c>
      <c r="X29" s="40" t="s">
        <v>161</v>
      </c>
      <c r="Y29" s="40" t="s">
        <v>162</v>
      </c>
      <c r="Z29" s="40" t="s">
        <v>161</v>
      </c>
      <c r="AA29" s="40" t="s">
        <v>162</v>
      </c>
      <c r="AB29" s="40" t="s">
        <v>161</v>
      </c>
      <c r="AC29" s="40" t="s">
        <v>162</v>
      </c>
      <c r="AD29" s="40" t="s">
        <v>161</v>
      </c>
      <c r="AE29" s="40" t="s">
        <v>162</v>
      </c>
      <c r="AF29" s="40" t="s">
        <v>161</v>
      </c>
      <c r="AG29" s="40" t="s">
        <v>162</v>
      </c>
      <c r="AH29" s="40" t="s">
        <v>161</v>
      </c>
      <c r="AI29" s="40" t="s">
        <v>162</v>
      </c>
      <c r="AJ29" s="40" t="s">
        <v>161</v>
      </c>
      <c r="AK29" s="40" t="s">
        <v>162</v>
      </c>
      <c r="AL29" s="40" t="s">
        <v>161</v>
      </c>
      <c r="AM29" s="40" t="s">
        <v>162</v>
      </c>
      <c r="AN29" s="40" t="s">
        <v>161</v>
      </c>
      <c r="AO29" s="40" t="s">
        <v>162</v>
      </c>
      <c r="AP29" s="40" t="s">
        <v>161</v>
      </c>
      <c r="AQ29" s="40" t="s">
        <v>162</v>
      </c>
      <c r="AR29" s="40" t="s">
        <v>161</v>
      </c>
      <c r="AS29" s="40" t="s">
        <v>162</v>
      </c>
      <c r="AT29" s="40" t="s">
        <v>161</v>
      </c>
      <c r="AU29" s="40" t="s">
        <v>162</v>
      </c>
      <c r="AV29" s="40" t="s">
        <v>161</v>
      </c>
      <c r="AW29" s="40" t="s">
        <v>162</v>
      </c>
      <c r="AX29" s="40" t="s">
        <v>161</v>
      </c>
      <c r="AY29" s="40" t="s">
        <v>162</v>
      </c>
      <c r="AZ29" s="40" t="s">
        <v>161</v>
      </c>
      <c r="BA29" s="40" t="s">
        <v>162</v>
      </c>
      <c r="BB29" s="40" t="s">
        <v>161</v>
      </c>
      <c r="BC29" s="40" t="s">
        <v>162</v>
      </c>
      <c r="BD29" s="40" t="s">
        <v>161</v>
      </c>
      <c r="BE29" s="40" t="s">
        <v>162</v>
      </c>
      <c r="BF29" s="40" t="s">
        <v>161</v>
      </c>
      <c r="BG29" s="40" t="s">
        <v>162</v>
      </c>
      <c r="BH29" s="40" t="s">
        <v>161</v>
      </c>
      <c r="BI29" s="40" t="s">
        <v>162</v>
      </c>
      <c r="BJ29" s="40" t="s">
        <v>161</v>
      </c>
      <c r="BK29" s="40" t="s">
        <v>162</v>
      </c>
      <c r="BL29" s="40" t="s">
        <v>161</v>
      </c>
      <c r="BM29" s="40" t="s">
        <v>162</v>
      </c>
      <c r="BN29" s="40" t="s">
        <v>161</v>
      </c>
      <c r="BO29" s="40" t="s">
        <v>162</v>
      </c>
      <c r="BP29" s="40" t="s">
        <v>161</v>
      </c>
      <c r="BQ29" s="40" t="s">
        <v>162</v>
      </c>
    </row>
    <row r="30" spans="1:69" x14ac:dyDescent="0.25">
      <c r="A30" s="65" t="s">
        <v>166</v>
      </c>
      <c r="B30" s="41"/>
      <c r="C30" s="41"/>
      <c r="D30" s="41">
        <v>437787</v>
      </c>
      <c r="E30" s="41">
        <v>1259751</v>
      </c>
      <c r="F30" s="41"/>
      <c r="G30" s="41"/>
      <c r="H30" s="41">
        <v>2187077</v>
      </c>
      <c r="I30" s="41">
        <v>8526034</v>
      </c>
      <c r="J30" s="41">
        <v>2930823</v>
      </c>
      <c r="K30" s="41">
        <v>9289123</v>
      </c>
      <c r="L30" s="41">
        <v>284882</v>
      </c>
      <c r="M30" s="41">
        <v>736761</v>
      </c>
      <c r="N30" s="41">
        <v>230943</v>
      </c>
      <c r="O30" s="41">
        <v>859143</v>
      </c>
      <c r="P30" s="41">
        <v>450526</v>
      </c>
      <c r="Q30" s="41">
        <v>1165884</v>
      </c>
      <c r="R30" s="41">
        <v>556</v>
      </c>
      <c r="S30" s="41">
        <v>590</v>
      </c>
      <c r="T30" s="41"/>
      <c r="U30" s="41"/>
      <c r="V30" s="41"/>
      <c r="W30" s="41"/>
      <c r="X30" s="41">
        <v>586087</v>
      </c>
      <c r="Y30" s="41">
        <v>2024126</v>
      </c>
      <c r="Z30" s="41">
        <v>2892</v>
      </c>
      <c r="AA30" s="41">
        <v>2899</v>
      </c>
      <c r="AB30" s="41">
        <v>1223544</v>
      </c>
      <c r="AC30" s="41">
        <v>4175842</v>
      </c>
      <c r="AD30" s="41">
        <v>2405226</v>
      </c>
      <c r="AE30" s="41">
        <v>9623984</v>
      </c>
      <c r="AF30" s="41">
        <v>1484994</v>
      </c>
      <c r="AG30" s="41">
        <v>4685133</v>
      </c>
      <c r="AH30" s="41">
        <v>18977</v>
      </c>
      <c r="AI30" s="41">
        <v>49231</v>
      </c>
      <c r="AJ30" s="41">
        <v>218621</v>
      </c>
      <c r="AK30" s="41">
        <v>694694</v>
      </c>
      <c r="AL30" s="41">
        <v>23</v>
      </c>
      <c r="AM30" s="41">
        <v>23</v>
      </c>
      <c r="AN30" s="41">
        <v>980292</v>
      </c>
      <c r="AO30" s="41">
        <v>3662262</v>
      </c>
      <c r="AP30" s="41">
        <v>23692784.984999999</v>
      </c>
      <c r="AQ30" s="41">
        <v>55544043.949000001</v>
      </c>
      <c r="AR30" s="41">
        <v>20867467</v>
      </c>
      <c r="AS30" s="41">
        <v>68917819</v>
      </c>
      <c r="AT30" s="41">
        <v>12531022</v>
      </c>
      <c r="AU30" s="41">
        <v>35749764</v>
      </c>
      <c r="AV30" s="41"/>
      <c r="AW30" s="41"/>
      <c r="AX30" s="41">
        <v>1804276</v>
      </c>
      <c r="AY30" s="41">
        <v>6150825</v>
      </c>
      <c r="AZ30" s="41">
        <v>1249487</v>
      </c>
      <c r="BA30" s="41">
        <v>4025338</v>
      </c>
      <c r="BB30" s="41">
        <v>493208</v>
      </c>
      <c r="BC30" s="41">
        <v>1570979</v>
      </c>
      <c r="BD30" s="41">
        <v>392662</v>
      </c>
      <c r="BE30" s="41">
        <v>1183373</v>
      </c>
      <c r="BF30" s="41">
        <v>2802</v>
      </c>
      <c r="BG30" s="41">
        <v>2832</v>
      </c>
      <c r="BH30" s="41"/>
      <c r="BI30" s="41"/>
      <c r="BJ30" s="41">
        <v>714181</v>
      </c>
      <c r="BK30" s="41">
        <v>2039852</v>
      </c>
      <c r="BL30" s="41">
        <v>14788159</v>
      </c>
      <c r="BM30" s="41">
        <v>63947984</v>
      </c>
      <c r="BN30" s="41">
        <v>258109</v>
      </c>
      <c r="BO30" s="41">
        <v>825025</v>
      </c>
      <c r="BP30" s="41">
        <f>B30+D30+F30+H30+J30+L30+N30+P30+R30+T30+V30+X30+Z30+AB30+AD30+AF30+AH30+AJ30+AL30+AN30+AP30+AR30+AT30+AV30+AX30+AZ30+BB30+BD30+BF30+BH30+BJ30+BL30+BN30</f>
        <v>90237407.984999999</v>
      </c>
      <c r="BQ30" s="41">
        <f>C30+E30+G30+I30+K30+M30+O30+Q30+S30+U30+W30+Y30+AA30+AC30+AE30+AG30+AI30+AK30+AM30+AO30+AQ30+AS30+AU30+AW30+AY30+BA30+BC30+BE30+BG30+BI30+BK30+BM30+BO30</f>
        <v>286713314.949</v>
      </c>
    </row>
    <row r="31" spans="1:69" x14ac:dyDescent="0.25">
      <c r="A31" s="65" t="s">
        <v>167</v>
      </c>
      <c r="B31" s="41">
        <v>527.529</v>
      </c>
      <c r="C31" s="41">
        <v>527.529</v>
      </c>
      <c r="D31" s="41">
        <v>409901</v>
      </c>
      <c r="E31" s="41">
        <v>1341373</v>
      </c>
      <c r="F31" s="41"/>
      <c r="G31" s="41"/>
      <c r="H31" s="41">
        <v>2103369</v>
      </c>
      <c r="I31" s="41">
        <v>7728198</v>
      </c>
      <c r="J31" s="41">
        <v>3080573</v>
      </c>
      <c r="K31" s="41">
        <v>9677202</v>
      </c>
      <c r="L31" s="41">
        <v>366060</v>
      </c>
      <c r="M31" s="41">
        <v>851547</v>
      </c>
      <c r="N31" s="41">
        <v>209094</v>
      </c>
      <c r="O31" s="41">
        <v>824321</v>
      </c>
      <c r="P31" s="41">
        <v>385931</v>
      </c>
      <c r="Q31" s="41">
        <v>1211939</v>
      </c>
      <c r="R31" s="41">
        <v>8107</v>
      </c>
      <c r="S31" s="41">
        <v>9085</v>
      </c>
      <c r="T31" s="41">
        <v>19</v>
      </c>
      <c r="U31" s="41">
        <v>19</v>
      </c>
      <c r="V31" s="41"/>
      <c r="W31" s="41"/>
      <c r="X31" s="41">
        <v>389833</v>
      </c>
      <c r="Y31" s="41">
        <v>1651649</v>
      </c>
      <c r="Z31" s="41">
        <v>8696</v>
      </c>
      <c r="AA31" s="41">
        <v>10537</v>
      </c>
      <c r="AB31" s="41">
        <v>742620</v>
      </c>
      <c r="AC31" s="41">
        <v>3009439</v>
      </c>
      <c r="AD31" s="41">
        <v>2232544</v>
      </c>
      <c r="AE31" s="41">
        <v>8650076</v>
      </c>
      <c r="AF31" s="41">
        <v>1387974</v>
      </c>
      <c r="AG31" s="41">
        <v>4007584</v>
      </c>
      <c r="AH31" s="41">
        <v>22308</v>
      </c>
      <c r="AI31" s="41">
        <v>61550</v>
      </c>
      <c r="AJ31" s="41">
        <v>179362</v>
      </c>
      <c r="AK31" s="41">
        <v>653544</v>
      </c>
      <c r="AL31" s="41">
        <v>2607</v>
      </c>
      <c r="AM31" s="41">
        <v>4552</v>
      </c>
      <c r="AN31" s="41">
        <v>706946</v>
      </c>
      <c r="AO31" s="41">
        <v>2861285</v>
      </c>
      <c r="AP31" s="41">
        <v>19660957.502999999</v>
      </c>
      <c r="AQ31" s="41">
        <v>43676523.521000005</v>
      </c>
      <c r="AR31" s="41">
        <v>17859862</v>
      </c>
      <c r="AS31" s="41">
        <v>62871362</v>
      </c>
      <c r="AT31" s="41">
        <v>12432224</v>
      </c>
      <c r="AU31" s="41">
        <v>36275541</v>
      </c>
      <c r="AV31" s="41">
        <v>58</v>
      </c>
      <c r="AW31" s="41">
        <v>256</v>
      </c>
      <c r="AX31" s="41">
        <v>1870422</v>
      </c>
      <c r="AY31" s="41">
        <v>6878726</v>
      </c>
      <c r="AZ31" s="41">
        <v>1032873</v>
      </c>
      <c r="BA31" s="41">
        <v>3282044</v>
      </c>
      <c r="BB31" s="41">
        <v>347153</v>
      </c>
      <c r="BC31" s="41">
        <v>1356055</v>
      </c>
      <c r="BD31" s="41">
        <v>212481</v>
      </c>
      <c r="BE31" s="41">
        <v>1667371</v>
      </c>
      <c r="BF31" s="41">
        <v>-1134</v>
      </c>
      <c r="BG31" s="41">
        <v>1077</v>
      </c>
      <c r="BH31" s="41"/>
      <c r="BI31" s="41"/>
      <c r="BJ31" s="41">
        <v>404526</v>
      </c>
      <c r="BK31" s="41">
        <v>1867822</v>
      </c>
      <c r="BL31" s="41">
        <v>11075939</v>
      </c>
      <c r="BM31" s="41">
        <v>49221903</v>
      </c>
      <c r="BN31" s="41">
        <v>318906</v>
      </c>
      <c r="BO31" s="41">
        <v>986105</v>
      </c>
      <c r="BP31" s="41">
        <f>B31+D31+F31+H31+J31+L31+N31+P31+R31+T31+V31+X31+Z31+AB31+AD31+AF31+AH31+AJ31+AL31+AN31+AP31+AR31+AT31+AV31+AX31+AZ31+BB31+BD31+BF31+BH31+BJ31+BL31+BN31</f>
        <v>77450739.032000005</v>
      </c>
      <c r="BQ31" s="41">
        <f>C31+E31+G31+I31+K31+M31+O31+Q31+S31+U31+W31+Y31+AA31+AC31+AE31+AG31+AI31+AK31+AM31+AO31+AQ31+AS31+AU31+AW31+AY31+BA31+BC31+BE31+BG31+BI31+BK31+BM31+BO31</f>
        <v>250639213.05000001</v>
      </c>
    </row>
    <row r="33" spans="1:69" x14ac:dyDescent="0.25">
      <c r="A33" s="63" t="s">
        <v>106</v>
      </c>
    </row>
    <row r="34" spans="1:69" s="12" customFormat="1" x14ac:dyDescent="0.25">
      <c r="A34" s="20" t="s">
        <v>0</v>
      </c>
      <c r="B34" s="160" t="s">
        <v>1</v>
      </c>
      <c r="C34" s="160"/>
      <c r="D34" s="160" t="s">
        <v>2</v>
      </c>
      <c r="E34" s="160"/>
      <c r="F34" s="160" t="s">
        <v>3</v>
      </c>
      <c r="G34" s="160"/>
      <c r="H34" s="160" t="s">
        <v>4</v>
      </c>
      <c r="I34" s="160"/>
      <c r="J34" s="160" t="s">
        <v>5</v>
      </c>
      <c r="K34" s="160"/>
      <c r="L34" s="160" t="s">
        <v>6</v>
      </c>
      <c r="M34" s="160"/>
      <c r="N34" s="160" t="s">
        <v>7</v>
      </c>
      <c r="O34" s="160"/>
      <c r="P34" s="160" t="s">
        <v>8</v>
      </c>
      <c r="Q34" s="160"/>
      <c r="R34" s="160" t="s">
        <v>9</v>
      </c>
      <c r="S34" s="160"/>
      <c r="T34" s="160" t="s">
        <v>10</v>
      </c>
      <c r="U34" s="160"/>
      <c r="V34" s="160" t="s">
        <v>11</v>
      </c>
      <c r="W34" s="160"/>
      <c r="X34" s="160" t="s">
        <v>12</v>
      </c>
      <c r="Y34" s="160"/>
      <c r="Z34" s="160" t="s">
        <v>13</v>
      </c>
      <c r="AA34" s="160"/>
      <c r="AB34" s="160" t="s">
        <v>14</v>
      </c>
      <c r="AC34" s="160"/>
      <c r="AD34" s="160" t="s">
        <v>15</v>
      </c>
      <c r="AE34" s="160"/>
      <c r="AF34" s="160" t="s">
        <v>16</v>
      </c>
      <c r="AG34" s="160"/>
      <c r="AH34" s="160" t="s">
        <v>17</v>
      </c>
      <c r="AI34" s="160"/>
      <c r="AJ34" s="160" t="s">
        <v>18</v>
      </c>
      <c r="AK34" s="160"/>
      <c r="AL34" s="160" t="s">
        <v>19</v>
      </c>
      <c r="AM34" s="160"/>
      <c r="AN34" s="160" t="s">
        <v>20</v>
      </c>
      <c r="AO34" s="160"/>
      <c r="AP34" s="160" t="s">
        <v>21</v>
      </c>
      <c r="AQ34" s="160"/>
      <c r="AR34" s="160" t="s">
        <v>109</v>
      </c>
      <c r="AS34" s="160"/>
      <c r="AT34" s="160" t="s">
        <v>110</v>
      </c>
      <c r="AU34" s="160"/>
      <c r="AV34" s="160" t="s">
        <v>22</v>
      </c>
      <c r="AW34" s="160"/>
      <c r="AX34" s="160" t="s">
        <v>23</v>
      </c>
      <c r="AY34" s="160"/>
      <c r="AZ34" s="160" t="s">
        <v>24</v>
      </c>
      <c r="BA34" s="160"/>
      <c r="BB34" s="160" t="s">
        <v>25</v>
      </c>
      <c r="BC34" s="160"/>
      <c r="BD34" s="160" t="s">
        <v>26</v>
      </c>
      <c r="BE34" s="160"/>
      <c r="BF34" s="160" t="s">
        <v>27</v>
      </c>
      <c r="BG34" s="160"/>
      <c r="BH34" s="160" t="s">
        <v>28</v>
      </c>
      <c r="BI34" s="160"/>
      <c r="BJ34" s="160" t="s">
        <v>29</v>
      </c>
      <c r="BK34" s="160"/>
      <c r="BL34" s="160" t="s">
        <v>30</v>
      </c>
      <c r="BM34" s="160"/>
      <c r="BN34" s="160" t="s">
        <v>31</v>
      </c>
      <c r="BO34" s="160"/>
      <c r="BP34" s="160" t="s">
        <v>150</v>
      </c>
      <c r="BQ34" s="160"/>
    </row>
    <row r="35" spans="1:69" s="39" customFormat="1" ht="44.25" customHeight="1" x14ac:dyDescent="0.25">
      <c r="A35" s="40"/>
      <c r="B35" s="40" t="s">
        <v>161</v>
      </c>
      <c r="C35" s="40" t="s">
        <v>162</v>
      </c>
      <c r="D35" s="40" t="s">
        <v>161</v>
      </c>
      <c r="E35" s="40" t="s">
        <v>162</v>
      </c>
      <c r="F35" s="40" t="s">
        <v>161</v>
      </c>
      <c r="G35" s="40" t="s">
        <v>162</v>
      </c>
      <c r="H35" s="40" t="s">
        <v>161</v>
      </c>
      <c r="I35" s="40" t="s">
        <v>162</v>
      </c>
      <c r="J35" s="40" t="s">
        <v>161</v>
      </c>
      <c r="K35" s="40" t="s">
        <v>162</v>
      </c>
      <c r="L35" s="40" t="s">
        <v>161</v>
      </c>
      <c r="M35" s="40" t="s">
        <v>162</v>
      </c>
      <c r="N35" s="40" t="s">
        <v>161</v>
      </c>
      <c r="O35" s="40" t="s">
        <v>162</v>
      </c>
      <c r="P35" s="40" t="s">
        <v>161</v>
      </c>
      <c r="Q35" s="40" t="s">
        <v>162</v>
      </c>
      <c r="R35" s="40" t="s">
        <v>161</v>
      </c>
      <c r="S35" s="40" t="s">
        <v>162</v>
      </c>
      <c r="T35" s="40" t="s">
        <v>161</v>
      </c>
      <c r="U35" s="40" t="s">
        <v>162</v>
      </c>
      <c r="V35" s="40" t="s">
        <v>161</v>
      </c>
      <c r="W35" s="40" t="s">
        <v>162</v>
      </c>
      <c r="X35" s="40" t="s">
        <v>161</v>
      </c>
      <c r="Y35" s="40" t="s">
        <v>162</v>
      </c>
      <c r="Z35" s="40" t="s">
        <v>161</v>
      </c>
      <c r="AA35" s="40" t="s">
        <v>162</v>
      </c>
      <c r="AB35" s="40" t="s">
        <v>161</v>
      </c>
      <c r="AC35" s="40" t="s">
        <v>162</v>
      </c>
      <c r="AD35" s="40" t="s">
        <v>161</v>
      </c>
      <c r="AE35" s="40" t="s">
        <v>162</v>
      </c>
      <c r="AF35" s="40" t="s">
        <v>161</v>
      </c>
      <c r="AG35" s="40" t="s">
        <v>162</v>
      </c>
      <c r="AH35" s="40" t="s">
        <v>161</v>
      </c>
      <c r="AI35" s="40" t="s">
        <v>162</v>
      </c>
      <c r="AJ35" s="40" t="s">
        <v>161</v>
      </c>
      <c r="AK35" s="40" t="s">
        <v>162</v>
      </c>
      <c r="AL35" s="40" t="s">
        <v>161</v>
      </c>
      <c r="AM35" s="40" t="s">
        <v>162</v>
      </c>
      <c r="AN35" s="40" t="s">
        <v>161</v>
      </c>
      <c r="AO35" s="40" t="s">
        <v>162</v>
      </c>
      <c r="AP35" s="40" t="s">
        <v>161</v>
      </c>
      <c r="AQ35" s="40" t="s">
        <v>162</v>
      </c>
      <c r="AR35" s="40" t="s">
        <v>161</v>
      </c>
      <c r="AS35" s="40" t="s">
        <v>162</v>
      </c>
      <c r="AT35" s="40" t="s">
        <v>161</v>
      </c>
      <c r="AU35" s="40" t="s">
        <v>162</v>
      </c>
      <c r="AV35" s="40" t="s">
        <v>161</v>
      </c>
      <c r="AW35" s="40" t="s">
        <v>162</v>
      </c>
      <c r="AX35" s="40" t="s">
        <v>161</v>
      </c>
      <c r="AY35" s="40" t="s">
        <v>162</v>
      </c>
      <c r="AZ35" s="40" t="s">
        <v>161</v>
      </c>
      <c r="BA35" s="40" t="s">
        <v>162</v>
      </c>
      <c r="BB35" s="40" t="s">
        <v>161</v>
      </c>
      <c r="BC35" s="40" t="s">
        <v>162</v>
      </c>
      <c r="BD35" s="40" t="s">
        <v>161</v>
      </c>
      <c r="BE35" s="40" t="s">
        <v>162</v>
      </c>
      <c r="BF35" s="40" t="s">
        <v>161</v>
      </c>
      <c r="BG35" s="40" t="s">
        <v>162</v>
      </c>
      <c r="BH35" s="40" t="s">
        <v>161</v>
      </c>
      <c r="BI35" s="40" t="s">
        <v>162</v>
      </c>
      <c r="BJ35" s="40" t="s">
        <v>161</v>
      </c>
      <c r="BK35" s="40" t="s">
        <v>162</v>
      </c>
      <c r="BL35" s="40" t="s">
        <v>161</v>
      </c>
      <c r="BM35" s="40" t="s">
        <v>162</v>
      </c>
      <c r="BN35" s="40" t="s">
        <v>161</v>
      </c>
      <c r="BO35" s="40" t="s">
        <v>162</v>
      </c>
      <c r="BP35" s="40" t="s">
        <v>161</v>
      </c>
      <c r="BQ35" s="40" t="s">
        <v>162</v>
      </c>
    </row>
    <row r="36" spans="1:69" x14ac:dyDescent="0.25">
      <c r="A36" s="65" t="s">
        <v>166</v>
      </c>
      <c r="B36" s="41"/>
      <c r="C36" s="41"/>
      <c r="D36" s="41">
        <v>873</v>
      </c>
      <c r="E36" s="41">
        <v>5577</v>
      </c>
      <c r="F36" s="41"/>
      <c r="G36" s="41"/>
      <c r="H36" s="41">
        <v>24962</v>
      </c>
      <c r="I36" s="41">
        <v>119203</v>
      </c>
      <c r="J36" s="42">
        <v>199420</v>
      </c>
      <c r="K36" s="41">
        <v>658609</v>
      </c>
      <c r="L36" s="41">
        <v>27339</v>
      </c>
      <c r="M36" s="41">
        <v>104456</v>
      </c>
      <c r="N36" s="41">
        <v>155445</v>
      </c>
      <c r="O36" s="41">
        <v>577462</v>
      </c>
      <c r="P36" s="41">
        <v>6381</v>
      </c>
      <c r="Q36" s="41">
        <v>12165</v>
      </c>
      <c r="R36" s="41">
        <v>500</v>
      </c>
      <c r="S36" s="41">
        <v>500</v>
      </c>
      <c r="T36" s="41"/>
      <c r="U36" s="41"/>
      <c r="V36" s="41"/>
      <c r="W36" s="41"/>
      <c r="X36" s="41">
        <v>188756</v>
      </c>
      <c r="Y36" s="41">
        <v>553401</v>
      </c>
      <c r="Z36" s="41"/>
      <c r="AA36" s="41"/>
      <c r="AB36" s="41">
        <v>455821</v>
      </c>
      <c r="AC36" s="41">
        <v>1368204</v>
      </c>
      <c r="AD36" s="41">
        <v>235177</v>
      </c>
      <c r="AE36" s="41">
        <v>745992</v>
      </c>
      <c r="AF36" s="41">
        <v>157892</v>
      </c>
      <c r="AG36" s="41">
        <v>436073</v>
      </c>
      <c r="AH36" s="41">
        <v>2872</v>
      </c>
      <c r="AI36" s="41">
        <v>7050</v>
      </c>
      <c r="AJ36" s="41">
        <v>27288</v>
      </c>
      <c r="AK36" s="41">
        <v>84835</v>
      </c>
      <c r="AL36" s="41">
        <v>3121</v>
      </c>
      <c r="AM36" s="41">
        <v>18336</v>
      </c>
      <c r="AN36" s="41">
        <v>5452</v>
      </c>
      <c r="AO36" s="41">
        <v>12183</v>
      </c>
      <c r="AP36" s="41">
        <v>1171271.9550000001</v>
      </c>
      <c r="AQ36" s="41">
        <v>3326235.7570000002</v>
      </c>
      <c r="AR36" s="41">
        <v>1279956</v>
      </c>
      <c r="AS36" s="41">
        <v>3823086</v>
      </c>
      <c r="AT36" s="41">
        <v>1774746</v>
      </c>
      <c r="AU36" s="41">
        <v>7988258</v>
      </c>
      <c r="AV36" s="41">
        <v>74</v>
      </c>
      <c r="AW36" s="41">
        <v>2433</v>
      </c>
      <c r="AX36" s="41">
        <v>59526</v>
      </c>
      <c r="AY36" s="41">
        <v>368572</v>
      </c>
      <c r="AZ36" s="41">
        <v>46153</v>
      </c>
      <c r="BA36" s="41">
        <v>93296</v>
      </c>
      <c r="BB36" s="85">
        <v>57605</v>
      </c>
      <c r="BC36" s="85">
        <v>184133</v>
      </c>
      <c r="BD36" s="41">
        <v>550002</v>
      </c>
      <c r="BE36" s="41">
        <v>1790724</v>
      </c>
      <c r="BF36" s="41">
        <v>29432</v>
      </c>
      <c r="BG36" s="41">
        <v>54726</v>
      </c>
      <c r="BH36" s="41"/>
      <c r="BI36" s="41"/>
      <c r="BJ36" s="41">
        <v>251420</v>
      </c>
      <c r="BK36" s="41">
        <v>685942</v>
      </c>
      <c r="BL36" s="41">
        <v>897099</v>
      </c>
      <c r="BM36" s="41">
        <v>2471301</v>
      </c>
      <c r="BN36" s="41">
        <v>106954</v>
      </c>
      <c r="BO36" s="41">
        <v>310838</v>
      </c>
      <c r="BP36" s="41">
        <f>B36+D36+F36+H36+J36+L36+N36+P36+R36+T36+V36+X36+Z36+AB36+AD36+AF36+AH36+AJ36+AL36+AN36+AP42+AR36+AT36+AV36+AX36+AZ36+BB36+BD36+BF36+BH36+BJ36+BL36+BN36</f>
        <v>6555134.3459999999</v>
      </c>
      <c r="BQ36" s="41">
        <f>C36+E36+G36+I36+K36+M36+O36+Q36+S36+U36+W36+Y36+AA36+AC36+AE36+AG36+AI36+AK36+AM36+AO36+AQ42+AS36+AU36+AW36+AY36+BA36+BC36+BE36+BG36+BI36+BK36+BM36+BO36</f>
        <v>22574884.796999998</v>
      </c>
    </row>
    <row r="37" spans="1:69" x14ac:dyDescent="0.25">
      <c r="A37" s="65" t="s">
        <v>167</v>
      </c>
      <c r="B37" s="41"/>
      <c r="C37" s="41"/>
      <c r="D37" s="41">
        <v>4728</v>
      </c>
      <c r="E37" s="41">
        <v>12094</v>
      </c>
      <c r="F37" s="41"/>
      <c r="G37" s="41"/>
      <c r="H37" s="41">
        <v>21736</v>
      </c>
      <c r="I37" s="41">
        <v>107517</v>
      </c>
      <c r="J37" s="41">
        <v>136063</v>
      </c>
      <c r="K37" s="41">
        <v>657465</v>
      </c>
      <c r="L37" s="41">
        <v>46884</v>
      </c>
      <c r="M37" s="41">
        <v>131351</v>
      </c>
      <c r="N37" s="41">
        <v>144622</v>
      </c>
      <c r="O37" s="41">
        <v>530943</v>
      </c>
      <c r="P37" s="41">
        <v>595</v>
      </c>
      <c r="Q37" s="41">
        <v>20074</v>
      </c>
      <c r="R37" s="41">
        <v>4066</v>
      </c>
      <c r="S37" s="41">
        <v>4228</v>
      </c>
      <c r="T37" s="41"/>
      <c r="U37" s="41"/>
      <c r="V37" s="41"/>
      <c r="W37" s="41"/>
      <c r="X37" s="41">
        <v>140126</v>
      </c>
      <c r="Y37" s="41">
        <v>588650</v>
      </c>
      <c r="Z37" s="41"/>
      <c r="AA37" s="41"/>
      <c r="AB37" s="41">
        <v>350186</v>
      </c>
      <c r="AC37" s="41">
        <v>1223513</v>
      </c>
      <c r="AD37" s="41">
        <v>24795</v>
      </c>
      <c r="AE37" s="41">
        <v>559875</v>
      </c>
      <c r="AF37" s="41">
        <v>167864</v>
      </c>
      <c r="AG37" s="41">
        <v>518610</v>
      </c>
      <c r="AH37" s="41">
        <v>2714</v>
      </c>
      <c r="AI37" s="41">
        <v>11247</v>
      </c>
      <c r="AJ37" s="41">
        <v>20666</v>
      </c>
      <c r="AK37" s="41">
        <v>101602</v>
      </c>
      <c r="AL37" s="41">
        <v>1792</v>
      </c>
      <c r="AM37" s="41">
        <v>7243</v>
      </c>
      <c r="AN37" s="41">
        <v>13726</v>
      </c>
      <c r="AO37" s="41">
        <v>28941</v>
      </c>
      <c r="AP37" s="41">
        <v>897829.82899999991</v>
      </c>
      <c r="AQ37" s="41">
        <v>3092298.2160000009</v>
      </c>
      <c r="AR37" s="41">
        <v>1337151</v>
      </c>
      <c r="AS37" s="41">
        <v>3986882</v>
      </c>
      <c r="AT37" s="41">
        <v>1880952</v>
      </c>
      <c r="AU37" s="41">
        <v>6429712</v>
      </c>
      <c r="AV37" s="41">
        <v>-218</v>
      </c>
      <c r="AW37" s="41">
        <v>-19</v>
      </c>
      <c r="AX37" s="41">
        <v>46058</v>
      </c>
      <c r="AY37" s="41">
        <v>272107</v>
      </c>
      <c r="AZ37" s="41">
        <v>25560</v>
      </c>
      <c r="BA37" s="41">
        <v>99532</v>
      </c>
      <c r="BB37" s="41">
        <v>61362</v>
      </c>
      <c r="BC37" s="41">
        <v>198463</v>
      </c>
      <c r="BD37" s="41">
        <v>772897</v>
      </c>
      <c r="BE37" s="41">
        <v>2600187</v>
      </c>
      <c r="BF37" s="41">
        <v>4347</v>
      </c>
      <c r="BG37" s="41">
        <v>10470</v>
      </c>
      <c r="BH37" s="41"/>
      <c r="BI37" s="41"/>
      <c r="BJ37" s="41">
        <v>218319</v>
      </c>
      <c r="BK37" s="41">
        <v>670346</v>
      </c>
      <c r="BL37" s="41">
        <v>857074</v>
      </c>
      <c r="BM37" s="41">
        <v>2239867</v>
      </c>
      <c r="BN37" s="41">
        <v>52766</v>
      </c>
      <c r="BO37" s="41">
        <v>399934</v>
      </c>
      <c r="BP37" s="41">
        <f>B37+D37+F37+H37+J37+L37+N37+P37+R37+T37+V37+X37+Z37+AB37+AD37+AF37+AH37+AJ37+AL37+AN37+AP43+AR37+AT37+AV37+AX37+AZ37+BB37+BD37+BF37+BH37+BJ37+BL37+BN37</f>
        <v>6386433.5940000005</v>
      </c>
      <c r="BQ37" s="41">
        <f>C37+E37+G37+I37+K37+M37+O37+Q37+S37+U37+W37+Y37+AA37+AC37+AE37+AG37+AI37+AK37+AM37+AO37+AQ43+AS37+AU37+AW37+AY37+BA37+BC37+BE37+BG37+BI37+BK37+BM37+BO37</f>
        <v>21571491.482000001</v>
      </c>
    </row>
    <row r="39" spans="1:69" x14ac:dyDescent="0.25">
      <c r="A39" s="63" t="s">
        <v>137</v>
      </c>
    </row>
    <row r="40" spans="1:69" s="12" customFormat="1" x14ac:dyDescent="0.25">
      <c r="A40" s="20" t="s">
        <v>0</v>
      </c>
      <c r="B40" s="160" t="s">
        <v>1</v>
      </c>
      <c r="C40" s="160"/>
      <c r="D40" s="160" t="s">
        <v>2</v>
      </c>
      <c r="E40" s="160"/>
      <c r="F40" s="160" t="s">
        <v>3</v>
      </c>
      <c r="G40" s="160"/>
      <c r="H40" s="160" t="s">
        <v>4</v>
      </c>
      <c r="I40" s="160"/>
      <c r="J40" s="160" t="s">
        <v>5</v>
      </c>
      <c r="K40" s="160"/>
      <c r="L40" s="160" t="s">
        <v>6</v>
      </c>
      <c r="M40" s="160"/>
      <c r="N40" s="160" t="s">
        <v>7</v>
      </c>
      <c r="O40" s="160"/>
      <c r="P40" s="160" t="s">
        <v>8</v>
      </c>
      <c r="Q40" s="160"/>
      <c r="R40" s="160" t="s">
        <v>9</v>
      </c>
      <c r="S40" s="160"/>
      <c r="T40" s="160" t="s">
        <v>10</v>
      </c>
      <c r="U40" s="160"/>
      <c r="V40" s="160" t="s">
        <v>11</v>
      </c>
      <c r="W40" s="160"/>
      <c r="X40" s="160" t="s">
        <v>12</v>
      </c>
      <c r="Y40" s="160"/>
      <c r="Z40" s="160" t="s">
        <v>13</v>
      </c>
      <c r="AA40" s="160"/>
      <c r="AB40" s="160" t="s">
        <v>14</v>
      </c>
      <c r="AC40" s="160"/>
      <c r="AD40" s="160" t="s">
        <v>15</v>
      </c>
      <c r="AE40" s="160"/>
      <c r="AF40" s="160" t="s">
        <v>16</v>
      </c>
      <c r="AG40" s="160"/>
      <c r="AH40" s="160" t="s">
        <v>17</v>
      </c>
      <c r="AI40" s="160"/>
      <c r="AJ40" s="160" t="s">
        <v>18</v>
      </c>
      <c r="AK40" s="160"/>
      <c r="AL40" s="160" t="s">
        <v>19</v>
      </c>
      <c r="AM40" s="160"/>
      <c r="AN40" s="160" t="s">
        <v>20</v>
      </c>
      <c r="AO40" s="160"/>
      <c r="AP40" s="160" t="s">
        <v>21</v>
      </c>
      <c r="AQ40" s="160"/>
      <c r="AR40" s="160" t="s">
        <v>109</v>
      </c>
      <c r="AS40" s="160"/>
      <c r="AT40" s="160" t="s">
        <v>110</v>
      </c>
      <c r="AU40" s="160"/>
      <c r="AV40" s="160" t="s">
        <v>22</v>
      </c>
      <c r="AW40" s="160"/>
      <c r="AX40" s="160" t="s">
        <v>23</v>
      </c>
      <c r="AY40" s="160"/>
      <c r="AZ40" s="160" t="s">
        <v>24</v>
      </c>
      <c r="BA40" s="160"/>
      <c r="BB40" s="160" t="s">
        <v>25</v>
      </c>
      <c r="BC40" s="160"/>
      <c r="BD40" s="160" t="s">
        <v>26</v>
      </c>
      <c r="BE40" s="160"/>
      <c r="BF40" s="160" t="s">
        <v>27</v>
      </c>
      <c r="BG40" s="160"/>
      <c r="BH40" s="160" t="s">
        <v>28</v>
      </c>
      <c r="BI40" s="160"/>
      <c r="BJ40" s="160" t="s">
        <v>29</v>
      </c>
      <c r="BK40" s="160"/>
      <c r="BL40" s="160" t="s">
        <v>30</v>
      </c>
      <c r="BM40" s="160"/>
      <c r="BN40" s="160" t="s">
        <v>31</v>
      </c>
      <c r="BO40" s="160"/>
      <c r="BP40" s="160" t="s">
        <v>150</v>
      </c>
      <c r="BQ40" s="160"/>
    </row>
    <row r="41" spans="1:69" s="39" customFormat="1" ht="44.25" customHeight="1" x14ac:dyDescent="0.25">
      <c r="A41" s="40"/>
      <c r="B41" s="40" t="s">
        <v>161</v>
      </c>
      <c r="C41" s="40" t="s">
        <v>162</v>
      </c>
      <c r="D41" s="40" t="s">
        <v>161</v>
      </c>
      <c r="E41" s="40" t="s">
        <v>162</v>
      </c>
      <c r="F41" s="40" t="s">
        <v>161</v>
      </c>
      <c r="G41" s="40" t="s">
        <v>162</v>
      </c>
      <c r="H41" s="40" t="s">
        <v>161</v>
      </c>
      <c r="I41" s="40" t="s">
        <v>162</v>
      </c>
      <c r="J41" s="40" t="s">
        <v>161</v>
      </c>
      <c r="K41" s="40" t="s">
        <v>162</v>
      </c>
      <c r="L41" s="40" t="s">
        <v>161</v>
      </c>
      <c r="M41" s="40" t="s">
        <v>162</v>
      </c>
      <c r="N41" s="40" t="s">
        <v>161</v>
      </c>
      <c r="O41" s="40" t="s">
        <v>162</v>
      </c>
      <c r="P41" s="40" t="s">
        <v>161</v>
      </c>
      <c r="Q41" s="40" t="s">
        <v>162</v>
      </c>
      <c r="R41" s="40" t="s">
        <v>161</v>
      </c>
      <c r="S41" s="40" t="s">
        <v>162</v>
      </c>
      <c r="T41" s="40" t="s">
        <v>161</v>
      </c>
      <c r="U41" s="40" t="s">
        <v>162</v>
      </c>
      <c r="V41" s="40" t="s">
        <v>161</v>
      </c>
      <c r="W41" s="40" t="s">
        <v>162</v>
      </c>
      <c r="X41" s="40" t="s">
        <v>161</v>
      </c>
      <c r="Y41" s="40" t="s">
        <v>162</v>
      </c>
      <c r="Z41" s="40" t="s">
        <v>161</v>
      </c>
      <c r="AA41" s="40" t="s">
        <v>162</v>
      </c>
      <c r="AB41" s="40" t="s">
        <v>161</v>
      </c>
      <c r="AC41" s="40" t="s">
        <v>162</v>
      </c>
      <c r="AD41" s="40" t="s">
        <v>161</v>
      </c>
      <c r="AE41" s="40" t="s">
        <v>162</v>
      </c>
      <c r="AF41" s="40" t="s">
        <v>161</v>
      </c>
      <c r="AG41" s="40" t="s">
        <v>162</v>
      </c>
      <c r="AH41" s="40" t="s">
        <v>161</v>
      </c>
      <c r="AI41" s="40" t="s">
        <v>162</v>
      </c>
      <c r="AJ41" s="40" t="s">
        <v>161</v>
      </c>
      <c r="AK41" s="40" t="s">
        <v>162</v>
      </c>
      <c r="AL41" s="40" t="s">
        <v>161</v>
      </c>
      <c r="AM41" s="40" t="s">
        <v>162</v>
      </c>
      <c r="AN41" s="40" t="s">
        <v>161</v>
      </c>
      <c r="AO41" s="40" t="s">
        <v>162</v>
      </c>
      <c r="AP41" s="40" t="s">
        <v>161</v>
      </c>
      <c r="AQ41" s="40" t="s">
        <v>162</v>
      </c>
      <c r="AR41" s="40" t="s">
        <v>161</v>
      </c>
      <c r="AS41" s="40" t="s">
        <v>162</v>
      </c>
      <c r="AT41" s="40" t="s">
        <v>161</v>
      </c>
      <c r="AU41" s="40" t="s">
        <v>162</v>
      </c>
      <c r="AV41" s="40" t="s">
        <v>161</v>
      </c>
      <c r="AW41" s="40" t="s">
        <v>162</v>
      </c>
      <c r="AX41" s="40" t="s">
        <v>161</v>
      </c>
      <c r="AY41" s="40" t="s">
        <v>162</v>
      </c>
      <c r="AZ41" s="40" t="s">
        <v>161</v>
      </c>
      <c r="BA41" s="40" t="s">
        <v>162</v>
      </c>
      <c r="BB41" s="40" t="s">
        <v>161</v>
      </c>
      <c r="BC41" s="40" t="s">
        <v>162</v>
      </c>
      <c r="BD41" s="40" t="s">
        <v>161</v>
      </c>
      <c r="BE41" s="40" t="s">
        <v>162</v>
      </c>
      <c r="BF41" s="40" t="s">
        <v>161</v>
      </c>
      <c r="BG41" s="40" t="s">
        <v>162</v>
      </c>
      <c r="BH41" s="40" t="s">
        <v>161</v>
      </c>
      <c r="BI41" s="40" t="s">
        <v>162</v>
      </c>
      <c r="BJ41" s="40" t="s">
        <v>161</v>
      </c>
      <c r="BK41" s="40" t="s">
        <v>162</v>
      </c>
      <c r="BL41" s="40" t="s">
        <v>161</v>
      </c>
      <c r="BM41" s="40" t="s">
        <v>162</v>
      </c>
      <c r="BN41" s="40" t="s">
        <v>161</v>
      </c>
      <c r="BO41" s="40" t="s">
        <v>162</v>
      </c>
      <c r="BP41" s="40" t="s">
        <v>161</v>
      </c>
      <c r="BQ41" s="40" t="s">
        <v>162</v>
      </c>
    </row>
    <row r="42" spans="1:69" x14ac:dyDescent="0.25">
      <c r="A42" s="65" t="s">
        <v>166</v>
      </c>
      <c r="B42" s="41"/>
      <c r="C42" s="41"/>
      <c r="D42" s="41"/>
      <c r="E42" s="41"/>
      <c r="F42" s="41"/>
      <c r="G42" s="41"/>
      <c r="H42" s="41"/>
      <c r="I42" s="41"/>
      <c r="J42" s="68">
        <v>44922</v>
      </c>
      <c r="K42" s="41">
        <v>46942</v>
      </c>
      <c r="L42" s="41">
        <v>3071</v>
      </c>
      <c r="M42" s="41">
        <v>20876</v>
      </c>
      <c r="N42" s="41">
        <v>10110</v>
      </c>
      <c r="O42" s="41">
        <v>40318</v>
      </c>
      <c r="P42" s="41"/>
      <c r="Q42" s="41"/>
      <c r="R42" s="41"/>
      <c r="S42" s="41"/>
      <c r="T42" s="41"/>
      <c r="U42" s="41"/>
      <c r="V42" s="41"/>
      <c r="W42" s="41"/>
      <c r="X42" s="41">
        <v>5996</v>
      </c>
      <c r="Y42" s="41">
        <v>14090</v>
      </c>
      <c r="Z42" s="41"/>
      <c r="AA42" s="41"/>
      <c r="AB42" s="41">
        <f>1+42004</f>
        <v>42005</v>
      </c>
      <c r="AC42" s="41">
        <f>55+151693</f>
        <v>151748</v>
      </c>
      <c r="AD42" s="41">
        <v>34986</v>
      </c>
      <c r="AE42" s="41">
        <v>218631</v>
      </c>
      <c r="AF42" s="41">
        <v>5767</v>
      </c>
      <c r="AG42" s="41">
        <v>9080</v>
      </c>
      <c r="AH42" s="41"/>
      <c r="AI42" s="41"/>
      <c r="AJ42" s="41">
        <v>21</v>
      </c>
      <c r="AK42" s="41">
        <v>96</v>
      </c>
      <c r="AL42" s="41">
        <f>29+24</f>
        <v>53</v>
      </c>
      <c r="AM42" s="41">
        <f>29+2257</f>
        <v>2286</v>
      </c>
      <c r="AN42" s="41"/>
      <c r="AO42" s="41"/>
      <c r="AP42" s="41">
        <v>10868.346000000005</v>
      </c>
      <c r="AQ42" s="41">
        <v>97529.797000000006</v>
      </c>
      <c r="AR42" s="41">
        <v>322428</v>
      </c>
      <c r="AS42" s="41">
        <v>1125613</v>
      </c>
      <c r="AT42" s="41">
        <v>118305</v>
      </c>
      <c r="AU42" s="41">
        <v>141577</v>
      </c>
      <c r="AV42" s="41">
        <f>3576+34</f>
        <v>3610</v>
      </c>
      <c r="AW42" s="41">
        <f>13310+3520</f>
        <v>16830</v>
      </c>
      <c r="AX42" s="41">
        <v>12095</v>
      </c>
      <c r="AY42" s="41">
        <v>16166</v>
      </c>
      <c r="AZ42" s="41"/>
      <c r="BA42" s="41"/>
      <c r="BB42" s="43">
        <v>1255</v>
      </c>
      <c r="BC42" s="43">
        <v>25683</v>
      </c>
      <c r="BD42" s="41">
        <v>38</v>
      </c>
      <c r="BE42" s="41">
        <v>534</v>
      </c>
      <c r="BF42" s="41"/>
      <c r="BG42" s="41"/>
      <c r="BH42" s="41"/>
      <c r="BI42" s="41"/>
      <c r="BJ42" s="41">
        <v>289439</v>
      </c>
      <c r="BK42" s="41">
        <v>1604165</v>
      </c>
      <c r="BL42" s="41">
        <v>38394</v>
      </c>
      <c r="BM42" s="41">
        <v>200956</v>
      </c>
      <c r="BN42" s="41"/>
      <c r="BO42" s="41"/>
      <c r="BP42" s="41">
        <f>B42+D42+F42+H42+J42+L42+N42+P42+R42+T42+V42+X42+Z42+AB42+AD42+AF42+AH42+AJ42+AL42+AN42+AP42+AR42+AT42+AV42+AX42+AZ42+BB42+BD42+BF42+BH42+BJ42+BL42+BN42</f>
        <v>943363.34600000002</v>
      </c>
      <c r="BQ42" s="41">
        <f>C42+E42+G42+I42+K42+M42+O42+Q42+S42+U42+W42+Y42+AA42+AC42+AE42+AG42+AI42+AK42+AM42+AO42+AQ42+AS42+AU42+AW42+AY42+BA42+BC42+BE42+BG42+BI42+BK42+BM42+BO42</f>
        <v>3733120.7970000003</v>
      </c>
    </row>
    <row r="43" spans="1:69" x14ac:dyDescent="0.25">
      <c r="A43" s="65" t="s">
        <v>167</v>
      </c>
      <c r="B43" s="41"/>
      <c r="C43" s="41"/>
      <c r="D43" s="41"/>
      <c r="E43" s="41"/>
      <c r="F43" s="41"/>
      <c r="G43" s="41"/>
      <c r="H43" s="41"/>
      <c r="I43" s="41"/>
      <c r="J43" s="86">
        <v>17224</v>
      </c>
      <c r="K43" s="41">
        <v>21590</v>
      </c>
      <c r="L43" s="41">
        <v>41597</v>
      </c>
      <c r="M43" s="41">
        <v>-29830</v>
      </c>
      <c r="N43" s="41">
        <v>2793</v>
      </c>
      <c r="O43" s="41">
        <v>5070</v>
      </c>
      <c r="P43" s="41"/>
      <c r="Q43" s="41"/>
      <c r="R43" s="41"/>
      <c r="S43" s="41"/>
      <c r="T43" s="41"/>
      <c r="U43" s="41"/>
      <c r="V43" s="41"/>
      <c r="W43" s="41"/>
      <c r="X43" s="41">
        <v>7025</v>
      </c>
      <c r="Y43" s="41">
        <v>7430</v>
      </c>
      <c r="Z43" s="41"/>
      <c r="AA43" s="41"/>
      <c r="AB43" s="41">
        <f>175+29206+-39</f>
        <v>29342</v>
      </c>
      <c r="AC43" s="41">
        <f>990+50509+-6375</f>
        <v>45124</v>
      </c>
      <c r="AD43" s="41">
        <v>13336</v>
      </c>
      <c r="AE43" s="41">
        <v>136354</v>
      </c>
      <c r="AF43" s="41">
        <v>-3441</v>
      </c>
      <c r="AG43" s="41">
        <v>49014</v>
      </c>
      <c r="AH43" s="41"/>
      <c r="AI43" s="41"/>
      <c r="AJ43" s="41">
        <v>3399</v>
      </c>
      <c r="AK43" s="41">
        <v>5813</v>
      </c>
      <c r="AL43" s="41">
        <f>71+1389</f>
        <v>1460</v>
      </c>
      <c r="AM43" s="41">
        <f>226+2681</f>
        <v>2907</v>
      </c>
      <c r="AN43" s="41"/>
      <c r="AO43" s="41"/>
      <c r="AP43" s="41">
        <v>49602.593999999997</v>
      </c>
      <c r="AQ43" s="41">
        <v>160657.48200000002</v>
      </c>
      <c r="AR43" s="41">
        <v>522422</v>
      </c>
      <c r="AS43" s="41">
        <v>1195972</v>
      </c>
      <c r="AT43" s="41">
        <v>-18826</v>
      </c>
      <c r="AU43" s="41">
        <v>-25972</v>
      </c>
      <c r="AV43" s="41">
        <f>11193+911</f>
        <v>12104</v>
      </c>
      <c r="AW43" s="41">
        <f>71474+10456</f>
        <v>81930</v>
      </c>
      <c r="AX43" s="41">
        <v>25280</v>
      </c>
      <c r="AY43" s="41">
        <v>49547</v>
      </c>
      <c r="AZ43" s="41"/>
      <c r="BA43" s="41"/>
      <c r="BB43" s="87">
        <v>674</v>
      </c>
      <c r="BC43" s="43">
        <v>1749</v>
      </c>
      <c r="BD43" s="41">
        <v>-364</v>
      </c>
      <c r="BE43" s="41">
        <v>4913</v>
      </c>
      <c r="BF43" s="41">
        <v>2172</v>
      </c>
      <c r="BG43" s="41">
        <v>3210</v>
      </c>
      <c r="BH43" s="41"/>
      <c r="BI43" s="41"/>
      <c r="BJ43" s="41">
        <v>731764</v>
      </c>
      <c r="BK43" s="41">
        <v>1247001</v>
      </c>
      <c r="BL43" s="41">
        <v>-220738</v>
      </c>
      <c r="BM43" s="41">
        <v>150371</v>
      </c>
      <c r="BN43" s="41">
        <v>-484</v>
      </c>
      <c r="BO43" s="41">
        <v>1684</v>
      </c>
      <c r="BP43" s="41">
        <f>B43+D43+F43+H43+J43+L43+N43+P43+R43+T43+V43+X43+Z43+AB43+AD43+AF43+AH43+AJ43+AL43+AN43+AP43+AR43+AT43+AV43+AX43+AZ43+BB43+BD43+BF43+BH43+BJ43+BL43+BN43</f>
        <v>1216341.594</v>
      </c>
      <c r="BQ43" s="41">
        <f>C43+E43+G43+I43+K43+M43+O43+Q43+S43+U43+W43+Y43+AA43+AC43+AE43+AG43+AI43+AK43+AM43+AO43+AQ43+AS43+AU43+AW43+AY43+BA43+BC43+BE43+BG43+BI43+BK43+BM43+BO43</f>
        <v>3114534.4819999998</v>
      </c>
    </row>
    <row r="44" spans="1:69" x14ac:dyDescent="0.25">
      <c r="A44" s="7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69" x14ac:dyDescent="0.25">
      <c r="A45" s="77" t="s">
        <v>151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</row>
    <row r="46" spans="1:69" s="12" customFormat="1" x14ac:dyDescent="0.25">
      <c r="A46" s="20" t="s">
        <v>0</v>
      </c>
      <c r="B46" s="160" t="s">
        <v>1</v>
      </c>
      <c r="C46" s="160"/>
      <c r="D46" s="160" t="s">
        <v>2</v>
      </c>
      <c r="E46" s="160"/>
      <c r="F46" s="160" t="s">
        <v>3</v>
      </c>
      <c r="G46" s="160"/>
      <c r="H46" s="160" t="s">
        <v>4</v>
      </c>
      <c r="I46" s="160"/>
      <c r="J46" s="160" t="s">
        <v>5</v>
      </c>
      <c r="K46" s="160"/>
      <c r="L46" s="160" t="s">
        <v>6</v>
      </c>
      <c r="M46" s="160"/>
      <c r="N46" s="160" t="s">
        <v>7</v>
      </c>
      <c r="O46" s="160"/>
      <c r="P46" s="160" t="s">
        <v>8</v>
      </c>
      <c r="Q46" s="160"/>
      <c r="R46" s="160" t="s">
        <v>9</v>
      </c>
      <c r="S46" s="160"/>
      <c r="T46" s="160" t="s">
        <v>10</v>
      </c>
      <c r="U46" s="160"/>
      <c r="V46" s="160" t="s">
        <v>11</v>
      </c>
      <c r="W46" s="160"/>
      <c r="X46" s="160" t="s">
        <v>12</v>
      </c>
      <c r="Y46" s="160"/>
      <c r="Z46" s="160" t="s">
        <v>13</v>
      </c>
      <c r="AA46" s="160"/>
      <c r="AB46" s="160" t="s">
        <v>14</v>
      </c>
      <c r="AC46" s="160"/>
      <c r="AD46" s="160" t="s">
        <v>15</v>
      </c>
      <c r="AE46" s="160"/>
      <c r="AF46" s="160" t="s">
        <v>16</v>
      </c>
      <c r="AG46" s="160"/>
      <c r="AH46" s="160" t="s">
        <v>17</v>
      </c>
      <c r="AI46" s="160"/>
      <c r="AJ46" s="160" t="s">
        <v>18</v>
      </c>
      <c r="AK46" s="160"/>
      <c r="AL46" s="160" t="s">
        <v>19</v>
      </c>
      <c r="AM46" s="160"/>
      <c r="AN46" s="160" t="s">
        <v>20</v>
      </c>
      <c r="AO46" s="160"/>
      <c r="AP46" s="160" t="s">
        <v>21</v>
      </c>
      <c r="AQ46" s="160"/>
      <c r="AR46" s="160" t="s">
        <v>109</v>
      </c>
      <c r="AS46" s="160"/>
      <c r="AT46" s="160" t="s">
        <v>110</v>
      </c>
      <c r="AU46" s="160"/>
      <c r="AV46" s="160" t="s">
        <v>22</v>
      </c>
      <c r="AW46" s="160"/>
      <c r="AX46" s="160" t="s">
        <v>23</v>
      </c>
      <c r="AY46" s="160"/>
      <c r="AZ46" s="160" t="s">
        <v>24</v>
      </c>
      <c r="BA46" s="160"/>
      <c r="BB46" s="160" t="s">
        <v>25</v>
      </c>
      <c r="BC46" s="160"/>
      <c r="BD46" s="160" t="s">
        <v>26</v>
      </c>
      <c r="BE46" s="160"/>
      <c r="BF46" s="160" t="s">
        <v>27</v>
      </c>
      <c r="BG46" s="160"/>
      <c r="BH46" s="160" t="s">
        <v>28</v>
      </c>
      <c r="BI46" s="160"/>
      <c r="BJ46" s="160" t="s">
        <v>29</v>
      </c>
      <c r="BK46" s="160"/>
      <c r="BL46" s="160" t="s">
        <v>30</v>
      </c>
      <c r="BM46" s="160"/>
      <c r="BN46" s="160" t="s">
        <v>31</v>
      </c>
      <c r="BO46" s="160"/>
      <c r="BP46" s="160" t="s">
        <v>150</v>
      </c>
      <c r="BQ46" s="160"/>
    </row>
    <row r="47" spans="1:69" s="39" customFormat="1" ht="44.25" customHeight="1" x14ac:dyDescent="0.25">
      <c r="A47" s="40"/>
      <c r="B47" s="40" t="s">
        <v>161</v>
      </c>
      <c r="C47" s="40" t="s">
        <v>162</v>
      </c>
      <c r="D47" s="40" t="s">
        <v>161</v>
      </c>
      <c r="E47" s="40" t="s">
        <v>162</v>
      </c>
      <c r="F47" s="40" t="s">
        <v>161</v>
      </c>
      <c r="G47" s="40" t="s">
        <v>162</v>
      </c>
      <c r="H47" s="40" t="s">
        <v>161</v>
      </c>
      <c r="I47" s="40" t="s">
        <v>162</v>
      </c>
      <c r="J47" s="40" t="s">
        <v>161</v>
      </c>
      <c r="K47" s="40" t="s">
        <v>162</v>
      </c>
      <c r="L47" s="40" t="s">
        <v>161</v>
      </c>
      <c r="M47" s="40" t="s">
        <v>162</v>
      </c>
      <c r="N47" s="40" t="s">
        <v>161</v>
      </c>
      <c r="O47" s="40" t="s">
        <v>162</v>
      </c>
      <c r="P47" s="40" t="s">
        <v>161</v>
      </c>
      <c r="Q47" s="40" t="s">
        <v>162</v>
      </c>
      <c r="R47" s="40" t="s">
        <v>161</v>
      </c>
      <c r="S47" s="40" t="s">
        <v>162</v>
      </c>
      <c r="T47" s="40" t="s">
        <v>161</v>
      </c>
      <c r="U47" s="40" t="s">
        <v>162</v>
      </c>
      <c r="V47" s="40" t="s">
        <v>161</v>
      </c>
      <c r="W47" s="40" t="s">
        <v>162</v>
      </c>
      <c r="X47" s="40" t="s">
        <v>161</v>
      </c>
      <c r="Y47" s="40" t="s">
        <v>162</v>
      </c>
      <c r="Z47" s="40" t="s">
        <v>161</v>
      </c>
      <c r="AA47" s="40" t="s">
        <v>162</v>
      </c>
      <c r="AB47" s="40" t="s">
        <v>161</v>
      </c>
      <c r="AC47" s="40" t="s">
        <v>162</v>
      </c>
      <c r="AD47" s="40" t="s">
        <v>161</v>
      </c>
      <c r="AE47" s="40" t="s">
        <v>162</v>
      </c>
      <c r="AF47" s="40" t="s">
        <v>161</v>
      </c>
      <c r="AG47" s="40" t="s">
        <v>162</v>
      </c>
      <c r="AH47" s="40" t="s">
        <v>161</v>
      </c>
      <c r="AI47" s="40" t="s">
        <v>162</v>
      </c>
      <c r="AJ47" s="40" t="s">
        <v>161</v>
      </c>
      <c r="AK47" s="40" t="s">
        <v>162</v>
      </c>
      <c r="AL47" s="40" t="s">
        <v>161</v>
      </c>
      <c r="AM47" s="40" t="s">
        <v>162</v>
      </c>
      <c r="AN47" s="40" t="s">
        <v>161</v>
      </c>
      <c r="AO47" s="40" t="s">
        <v>162</v>
      </c>
      <c r="AP47" s="40" t="s">
        <v>161</v>
      </c>
      <c r="AQ47" s="40" t="s">
        <v>162</v>
      </c>
      <c r="AR47" s="40" t="s">
        <v>161</v>
      </c>
      <c r="AS47" s="40" t="s">
        <v>162</v>
      </c>
      <c r="AT47" s="40" t="s">
        <v>161</v>
      </c>
      <c r="AU47" s="40" t="s">
        <v>162</v>
      </c>
      <c r="AV47" s="40" t="s">
        <v>161</v>
      </c>
      <c r="AW47" s="40" t="s">
        <v>162</v>
      </c>
      <c r="AX47" s="40" t="s">
        <v>161</v>
      </c>
      <c r="AY47" s="40" t="s">
        <v>162</v>
      </c>
      <c r="AZ47" s="40" t="s">
        <v>161</v>
      </c>
      <c r="BA47" s="40" t="s">
        <v>162</v>
      </c>
      <c r="BB47" s="40" t="s">
        <v>161</v>
      </c>
      <c r="BC47" s="40" t="s">
        <v>162</v>
      </c>
      <c r="BD47" s="40" t="s">
        <v>161</v>
      </c>
      <c r="BE47" s="40" t="s">
        <v>162</v>
      </c>
      <c r="BF47" s="40" t="s">
        <v>161</v>
      </c>
      <c r="BG47" s="40" t="s">
        <v>162</v>
      </c>
      <c r="BH47" s="40" t="s">
        <v>161</v>
      </c>
      <c r="BI47" s="40" t="s">
        <v>162</v>
      </c>
      <c r="BJ47" s="40" t="s">
        <v>161</v>
      </c>
      <c r="BK47" s="40" t="s">
        <v>162</v>
      </c>
      <c r="BL47" s="40" t="s">
        <v>161</v>
      </c>
      <c r="BM47" s="40" t="s">
        <v>162</v>
      </c>
      <c r="BN47" s="40" t="s">
        <v>161</v>
      </c>
      <c r="BO47" s="40" t="s">
        <v>162</v>
      </c>
      <c r="BP47" s="40" t="s">
        <v>161</v>
      </c>
      <c r="BQ47" s="40" t="s">
        <v>162</v>
      </c>
    </row>
    <row r="48" spans="1:69" x14ac:dyDescent="0.25">
      <c r="A48" s="65" t="s">
        <v>166</v>
      </c>
      <c r="B48" s="41"/>
      <c r="C48" s="41"/>
      <c r="D48" s="41"/>
      <c r="E48" s="41"/>
      <c r="F48" s="41"/>
      <c r="G48" s="41"/>
      <c r="H48" s="41"/>
      <c r="I48" s="41"/>
      <c r="J48" s="70">
        <v>5596</v>
      </c>
      <c r="K48" s="41">
        <v>36358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>
        <v>4</v>
      </c>
      <c r="Y48" s="41">
        <v>-8541</v>
      </c>
      <c r="Z48" s="41"/>
      <c r="AA48" s="41"/>
      <c r="AB48" s="41">
        <v>125601</v>
      </c>
      <c r="AC48" s="41">
        <v>352945</v>
      </c>
      <c r="AD48" s="41">
        <v>84342</v>
      </c>
      <c r="AE48" s="41">
        <v>314079</v>
      </c>
      <c r="AF48" s="41">
        <v>4096</v>
      </c>
      <c r="AG48" s="41">
        <v>-1892</v>
      </c>
      <c r="AH48" s="41"/>
      <c r="AI48" s="41"/>
      <c r="AJ48" s="41"/>
      <c r="AK48" s="41"/>
      <c r="AL48" s="41"/>
      <c r="AM48" s="41"/>
      <c r="AN48" s="41"/>
      <c r="AO48" s="41"/>
      <c r="AP48" s="41">
        <v>458243.71100000001</v>
      </c>
      <c r="AQ48" s="41">
        <v>522932.46299999999</v>
      </c>
      <c r="AR48" s="41">
        <v>471161</v>
      </c>
      <c r="AS48" s="41">
        <v>709304</v>
      </c>
      <c r="AT48" s="41">
        <v>485863</v>
      </c>
      <c r="AU48" s="41">
        <v>1053200</v>
      </c>
      <c r="AV48" s="41"/>
      <c r="AW48" s="41"/>
      <c r="AX48" s="41">
        <v>37</v>
      </c>
      <c r="AY48" s="41">
        <v>11723</v>
      </c>
      <c r="AZ48" s="41"/>
      <c r="BA48" s="41"/>
      <c r="BB48" s="88"/>
      <c r="BC48" s="89"/>
      <c r="BD48" s="41">
        <v>496</v>
      </c>
      <c r="BE48" s="41">
        <v>496</v>
      </c>
      <c r="BF48" s="41"/>
      <c r="BG48" s="41"/>
      <c r="BH48" s="41"/>
      <c r="BI48" s="41"/>
      <c r="BJ48" s="41">
        <v>954</v>
      </c>
      <c r="BK48" s="41">
        <v>954</v>
      </c>
      <c r="BL48" s="41">
        <v>57692</v>
      </c>
      <c r="BM48" s="41">
        <v>647849</v>
      </c>
      <c r="BN48" s="41"/>
      <c r="BO48" s="41"/>
      <c r="BP48" s="41">
        <f>B48+D48+F48+H48+J48+L48+N48+P48+R48+T48+V48+X48+Z48+AB48+AD48+AF48+AH48+AJ48+AL48+AN48+AP48+AR48+AT48+AV48+AX48+AZ48+BB48+BD48+BF48+BH48+BJ48+BL48+BN48</f>
        <v>1694085.7110000001</v>
      </c>
      <c r="BQ48" s="41">
        <f>C48+E48+G48+I48+K48+M48+O48+Q48+S48+U48+W48+Y48+AA48+AC48+AE48+AG48+AI48+AK48+AM48+AO48+AQ48+AS48+AU48+AW48+AY48+BA48+BC48+BE48+BG48+BI48+BK48+BM48+BO48</f>
        <v>3639407.463</v>
      </c>
    </row>
    <row r="49" spans="1:69" x14ac:dyDescent="0.25">
      <c r="A49" s="65" t="s">
        <v>167</v>
      </c>
      <c r="B49" s="41"/>
      <c r="C49" s="41"/>
      <c r="D49" s="41"/>
      <c r="E49" s="41"/>
      <c r="F49" s="41"/>
      <c r="G49" s="41"/>
      <c r="H49" s="41"/>
      <c r="I49" s="41"/>
      <c r="J49" s="68">
        <v>1455</v>
      </c>
      <c r="K49" s="41">
        <v>-79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>
        <v>-409</v>
      </c>
      <c r="Y49" s="41">
        <v>260</v>
      </c>
      <c r="Z49" s="41"/>
      <c r="AA49" s="41"/>
      <c r="AB49" s="41">
        <v>-31369</v>
      </c>
      <c r="AC49" s="41">
        <v>168973</v>
      </c>
      <c r="AD49" s="41">
        <v>281747</v>
      </c>
      <c r="AE49" s="41">
        <v>600054</v>
      </c>
      <c r="AF49" s="41">
        <v>-10190</v>
      </c>
      <c r="AG49" s="41">
        <v>1223</v>
      </c>
      <c r="AH49" s="41"/>
      <c r="AI49" s="41"/>
      <c r="AJ49" s="41"/>
      <c r="AK49" s="41"/>
      <c r="AL49" s="41"/>
      <c r="AM49" s="41"/>
      <c r="AN49" s="41"/>
      <c r="AO49" s="41"/>
      <c r="AP49" s="41">
        <v>212192.77600000004</v>
      </c>
      <c r="AQ49" s="41">
        <v>288879.54100000008</v>
      </c>
      <c r="AR49" s="41">
        <v>736147</v>
      </c>
      <c r="AS49" s="41">
        <v>1500932</v>
      </c>
      <c r="AT49" s="41">
        <v>-5397</v>
      </c>
      <c r="AU49" s="41">
        <v>308409</v>
      </c>
      <c r="AV49" s="41"/>
      <c r="AW49" s="41"/>
      <c r="AX49" s="41">
        <v>489</v>
      </c>
      <c r="AY49" s="41">
        <v>190</v>
      </c>
      <c r="AZ49" s="41"/>
      <c r="BA49" s="41"/>
      <c r="BB49" s="90"/>
      <c r="BC49" s="89"/>
      <c r="BD49" s="41">
        <v>-2</v>
      </c>
      <c r="BE49" s="41">
        <v>-6</v>
      </c>
      <c r="BF49" s="41"/>
      <c r="BG49" s="41"/>
      <c r="BH49" s="41"/>
      <c r="BI49" s="41"/>
      <c r="BJ49" s="41">
        <v>4198</v>
      </c>
      <c r="BK49" s="41">
        <v>4273</v>
      </c>
      <c r="BL49" s="41">
        <v>182743</v>
      </c>
      <c r="BM49" s="41">
        <v>279997</v>
      </c>
      <c r="BN49" s="41"/>
      <c r="BO49" s="41"/>
      <c r="BP49" s="41">
        <f>B49+D49+F49+H49+J49+L49+N49+P49+R49+T49+V49+X49+Z49+AB49+AD49+AF49+AH49+AJ49+AL49+AN49+AP49+AR49+AT49+AV49+AX49+AZ49+BB49+BD49+BF49+BH49+BJ49+BL49+BN49</f>
        <v>1371604.7760000001</v>
      </c>
      <c r="BQ49" s="41">
        <f>C49+E49+G49+I49+K49+M49+O49+Q49+S49+U49+W49+Y49+AA49+AC49+AE49+AG49+AI49+AK49+AM49+AO49+AQ49+AS49+AU49+AW49+AY49+BA49+BC49+BE49+BG49+BI49+BK49+BM49+BO49</f>
        <v>3153105.5410000002</v>
      </c>
    </row>
    <row r="50" spans="1:69" x14ac:dyDescent="0.25">
      <c r="BB50" s="91"/>
      <c r="BC50" s="91"/>
    </row>
    <row r="51" spans="1:69" x14ac:dyDescent="0.25">
      <c r="A51" s="63" t="s">
        <v>131</v>
      </c>
    </row>
    <row r="52" spans="1:69" s="12" customFormat="1" x14ac:dyDescent="0.25">
      <c r="A52" s="20" t="s">
        <v>0</v>
      </c>
      <c r="B52" s="160" t="s">
        <v>1</v>
      </c>
      <c r="C52" s="160"/>
      <c r="D52" s="160" t="s">
        <v>2</v>
      </c>
      <c r="E52" s="160"/>
      <c r="F52" s="160" t="s">
        <v>3</v>
      </c>
      <c r="G52" s="160"/>
      <c r="H52" s="160" t="s">
        <v>4</v>
      </c>
      <c r="I52" s="160"/>
      <c r="J52" s="160" t="s">
        <v>5</v>
      </c>
      <c r="K52" s="160"/>
      <c r="L52" s="160" t="s">
        <v>6</v>
      </c>
      <c r="M52" s="160"/>
      <c r="N52" s="160" t="s">
        <v>7</v>
      </c>
      <c r="O52" s="160"/>
      <c r="P52" s="160" t="s">
        <v>8</v>
      </c>
      <c r="Q52" s="160"/>
      <c r="R52" s="160" t="s">
        <v>9</v>
      </c>
      <c r="S52" s="160"/>
      <c r="T52" s="160" t="s">
        <v>10</v>
      </c>
      <c r="U52" s="160"/>
      <c r="V52" s="160" t="s">
        <v>11</v>
      </c>
      <c r="W52" s="160"/>
      <c r="X52" s="160" t="s">
        <v>12</v>
      </c>
      <c r="Y52" s="160"/>
      <c r="Z52" s="160" t="s">
        <v>13</v>
      </c>
      <c r="AA52" s="160"/>
      <c r="AB52" s="160" t="s">
        <v>14</v>
      </c>
      <c r="AC52" s="160"/>
      <c r="AD52" s="160" t="s">
        <v>15</v>
      </c>
      <c r="AE52" s="160"/>
      <c r="AF52" s="160" t="s">
        <v>16</v>
      </c>
      <c r="AG52" s="160"/>
      <c r="AH52" s="160" t="s">
        <v>17</v>
      </c>
      <c r="AI52" s="160"/>
      <c r="AJ52" s="160" t="s">
        <v>18</v>
      </c>
      <c r="AK52" s="160"/>
      <c r="AL52" s="160" t="s">
        <v>19</v>
      </c>
      <c r="AM52" s="160"/>
      <c r="AN52" s="160" t="s">
        <v>20</v>
      </c>
      <c r="AO52" s="160"/>
      <c r="AP52" s="160" t="s">
        <v>21</v>
      </c>
      <c r="AQ52" s="160"/>
      <c r="AR52" s="160" t="s">
        <v>109</v>
      </c>
      <c r="AS52" s="160"/>
      <c r="AT52" s="160" t="s">
        <v>110</v>
      </c>
      <c r="AU52" s="160"/>
      <c r="AV52" s="160" t="s">
        <v>22</v>
      </c>
      <c r="AW52" s="160"/>
      <c r="AX52" s="160" t="s">
        <v>23</v>
      </c>
      <c r="AY52" s="160"/>
      <c r="AZ52" s="160" t="s">
        <v>24</v>
      </c>
      <c r="BA52" s="160"/>
      <c r="BB52" s="160" t="s">
        <v>25</v>
      </c>
      <c r="BC52" s="160"/>
      <c r="BD52" s="160" t="s">
        <v>26</v>
      </c>
      <c r="BE52" s="160"/>
      <c r="BF52" s="160" t="s">
        <v>27</v>
      </c>
      <c r="BG52" s="160"/>
      <c r="BH52" s="160" t="s">
        <v>28</v>
      </c>
      <c r="BI52" s="160"/>
      <c r="BJ52" s="160" t="s">
        <v>29</v>
      </c>
      <c r="BK52" s="160"/>
      <c r="BL52" s="160" t="s">
        <v>30</v>
      </c>
      <c r="BM52" s="160"/>
      <c r="BN52" s="160" t="s">
        <v>31</v>
      </c>
      <c r="BO52" s="160"/>
      <c r="BP52" s="160" t="s">
        <v>150</v>
      </c>
      <c r="BQ52" s="160"/>
    </row>
    <row r="53" spans="1:69" s="39" customFormat="1" ht="44.25" customHeight="1" x14ac:dyDescent="0.25">
      <c r="A53" s="40"/>
      <c r="B53" s="40" t="s">
        <v>161</v>
      </c>
      <c r="C53" s="40" t="s">
        <v>162</v>
      </c>
      <c r="D53" s="40" t="s">
        <v>161</v>
      </c>
      <c r="E53" s="40" t="s">
        <v>162</v>
      </c>
      <c r="F53" s="40" t="s">
        <v>161</v>
      </c>
      <c r="G53" s="40" t="s">
        <v>162</v>
      </c>
      <c r="H53" s="40" t="s">
        <v>161</v>
      </c>
      <c r="I53" s="40" t="s">
        <v>162</v>
      </c>
      <c r="J53" s="40" t="s">
        <v>161</v>
      </c>
      <c r="K53" s="40" t="s">
        <v>162</v>
      </c>
      <c r="L53" s="40" t="s">
        <v>161</v>
      </c>
      <c r="M53" s="40" t="s">
        <v>162</v>
      </c>
      <c r="N53" s="40" t="s">
        <v>161</v>
      </c>
      <c r="O53" s="40" t="s">
        <v>162</v>
      </c>
      <c r="P53" s="40" t="s">
        <v>161</v>
      </c>
      <c r="Q53" s="40" t="s">
        <v>162</v>
      </c>
      <c r="R53" s="40" t="s">
        <v>161</v>
      </c>
      <c r="S53" s="40" t="s">
        <v>162</v>
      </c>
      <c r="T53" s="40" t="s">
        <v>161</v>
      </c>
      <c r="U53" s="40" t="s">
        <v>162</v>
      </c>
      <c r="V53" s="40" t="s">
        <v>161</v>
      </c>
      <c r="W53" s="40" t="s">
        <v>162</v>
      </c>
      <c r="X53" s="40" t="s">
        <v>161</v>
      </c>
      <c r="Y53" s="40" t="s">
        <v>162</v>
      </c>
      <c r="Z53" s="40" t="s">
        <v>161</v>
      </c>
      <c r="AA53" s="40" t="s">
        <v>162</v>
      </c>
      <c r="AB53" s="40" t="s">
        <v>161</v>
      </c>
      <c r="AC53" s="40" t="s">
        <v>162</v>
      </c>
      <c r="AD53" s="40" t="s">
        <v>161</v>
      </c>
      <c r="AE53" s="40" t="s">
        <v>162</v>
      </c>
      <c r="AF53" s="40" t="s">
        <v>161</v>
      </c>
      <c r="AG53" s="40" t="s">
        <v>162</v>
      </c>
      <c r="AH53" s="40" t="s">
        <v>161</v>
      </c>
      <c r="AI53" s="40" t="s">
        <v>162</v>
      </c>
      <c r="AJ53" s="40" t="s">
        <v>161</v>
      </c>
      <c r="AK53" s="40" t="s">
        <v>162</v>
      </c>
      <c r="AL53" s="40" t="s">
        <v>161</v>
      </c>
      <c r="AM53" s="40" t="s">
        <v>162</v>
      </c>
      <c r="AN53" s="40" t="s">
        <v>161</v>
      </c>
      <c r="AO53" s="40" t="s">
        <v>162</v>
      </c>
      <c r="AP53" s="40" t="s">
        <v>161</v>
      </c>
      <c r="AQ53" s="40" t="s">
        <v>162</v>
      </c>
      <c r="AR53" s="40" t="s">
        <v>161</v>
      </c>
      <c r="AS53" s="40" t="s">
        <v>162</v>
      </c>
      <c r="AT53" s="40" t="s">
        <v>161</v>
      </c>
      <c r="AU53" s="40" t="s">
        <v>162</v>
      </c>
      <c r="AV53" s="40" t="s">
        <v>161</v>
      </c>
      <c r="AW53" s="40" t="s">
        <v>162</v>
      </c>
      <c r="AX53" s="40" t="s">
        <v>161</v>
      </c>
      <c r="AY53" s="40" t="s">
        <v>162</v>
      </c>
      <c r="AZ53" s="40" t="s">
        <v>161</v>
      </c>
      <c r="BA53" s="40" t="s">
        <v>162</v>
      </c>
      <c r="BB53" s="40" t="s">
        <v>161</v>
      </c>
      <c r="BC53" s="40" t="s">
        <v>162</v>
      </c>
      <c r="BD53" s="40" t="s">
        <v>161</v>
      </c>
      <c r="BE53" s="40" t="s">
        <v>162</v>
      </c>
      <c r="BF53" s="40" t="s">
        <v>161</v>
      </c>
      <c r="BG53" s="40" t="s">
        <v>162</v>
      </c>
      <c r="BH53" s="40" t="s">
        <v>161</v>
      </c>
      <c r="BI53" s="40" t="s">
        <v>162</v>
      </c>
      <c r="BJ53" s="40" t="s">
        <v>161</v>
      </c>
      <c r="BK53" s="40" t="s">
        <v>162</v>
      </c>
      <c r="BL53" s="40" t="s">
        <v>161</v>
      </c>
      <c r="BM53" s="40" t="s">
        <v>162</v>
      </c>
      <c r="BN53" s="40" t="s">
        <v>161</v>
      </c>
      <c r="BO53" s="40" t="s">
        <v>162</v>
      </c>
      <c r="BP53" s="40" t="s">
        <v>161</v>
      </c>
      <c r="BQ53" s="40" t="s">
        <v>162</v>
      </c>
    </row>
    <row r="54" spans="1:69" x14ac:dyDescent="0.25">
      <c r="A54" s="65" t="s">
        <v>166</v>
      </c>
      <c r="B54" s="41">
        <f t="shared" ref="B54:E55" si="0">B60-B36-B30-B24-B18-B12-B6-B42-B48</f>
        <v>0</v>
      </c>
      <c r="C54" s="41">
        <f t="shared" si="0"/>
        <v>0</v>
      </c>
      <c r="D54" s="41">
        <f t="shared" si="0"/>
        <v>0</v>
      </c>
      <c r="E54" s="41">
        <f t="shared" si="0"/>
        <v>0</v>
      </c>
      <c r="F54" s="41"/>
      <c r="G54" s="41"/>
      <c r="H54" s="41">
        <f t="shared" ref="H54:BO55" si="1">H60-H36-H30-H24-H18-H12-H6-H42-H48</f>
        <v>6684</v>
      </c>
      <c r="I54" s="41">
        <f t="shared" si="1"/>
        <v>45669</v>
      </c>
      <c r="J54" s="41">
        <f t="shared" si="1"/>
        <v>754184</v>
      </c>
      <c r="K54" s="41">
        <f t="shared" si="1"/>
        <v>11361362</v>
      </c>
      <c r="L54" s="41">
        <f t="shared" si="1"/>
        <v>27743</v>
      </c>
      <c r="M54" s="41">
        <f t="shared" si="1"/>
        <v>115806</v>
      </c>
      <c r="N54" s="41">
        <f t="shared" si="1"/>
        <v>626477</v>
      </c>
      <c r="O54" s="41">
        <f t="shared" si="1"/>
        <v>996381</v>
      </c>
      <c r="P54" s="41">
        <f t="shared" si="1"/>
        <v>0</v>
      </c>
      <c r="Q54" s="41">
        <f t="shared" si="1"/>
        <v>0</v>
      </c>
      <c r="R54" s="41">
        <f t="shared" si="1"/>
        <v>0</v>
      </c>
      <c r="S54" s="41">
        <f t="shared" si="1"/>
        <v>0</v>
      </c>
      <c r="T54" s="41">
        <f t="shared" si="1"/>
        <v>0</v>
      </c>
      <c r="U54" s="41">
        <f t="shared" si="1"/>
        <v>0</v>
      </c>
      <c r="V54" s="41"/>
      <c r="W54" s="41"/>
      <c r="X54" s="41">
        <f t="shared" si="1"/>
        <v>159604</v>
      </c>
      <c r="Y54" s="41">
        <f t="shared" si="1"/>
        <v>1164735</v>
      </c>
      <c r="Z54" s="41">
        <f t="shared" si="1"/>
        <v>2</v>
      </c>
      <c r="AA54" s="41">
        <f t="shared" si="1"/>
        <v>2</v>
      </c>
      <c r="AB54" s="41">
        <f t="shared" si="1"/>
        <v>1248151</v>
      </c>
      <c r="AC54" s="41">
        <f t="shared" si="1"/>
        <v>17764222</v>
      </c>
      <c r="AD54" s="41">
        <f t="shared" si="1"/>
        <v>1986999</v>
      </c>
      <c r="AE54" s="41">
        <f t="shared" si="1"/>
        <v>13802030</v>
      </c>
      <c r="AF54" s="41">
        <f t="shared" si="1"/>
        <v>641695</v>
      </c>
      <c r="AG54" s="41">
        <f t="shared" si="1"/>
        <v>6682798</v>
      </c>
      <c r="AH54" s="41">
        <f t="shared" si="1"/>
        <v>4</v>
      </c>
      <c r="AI54" s="41">
        <f t="shared" si="1"/>
        <v>3</v>
      </c>
      <c r="AJ54" s="41">
        <f t="shared" si="1"/>
        <v>15872</v>
      </c>
      <c r="AK54" s="41">
        <f t="shared" si="1"/>
        <v>87506</v>
      </c>
      <c r="AL54" s="41">
        <f t="shared" si="1"/>
        <v>4167</v>
      </c>
      <c r="AM54" s="41">
        <f t="shared" si="1"/>
        <v>12485</v>
      </c>
      <c r="AN54" s="41">
        <f t="shared" si="1"/>
        <v>0</v>
      </c>
      <c r="AO54" s="41">
        <f t="shared" si="1"/>
        <v>-1</v>
      </c>
      <c r="AP54" s="41">
        <f t="shared" ref="AP54:AQ54" si="2">AP60-AP36-AP30-AP24-AP18-AP12-AP6-AP42-AP48</f>
        <v>7014241.9720000131</v>
      </c>
      <c r="AQ54" s="41">
        <f t="shared" si="2"/>
        <v>9992725.2200000007</v>
      </c>
      <c r="AR54" s="41">
        <f t="shared" si="1"/>
        <v>5808837</v>
      </c>
      <c r="AS54" s="41">
        <f t="shared" si="1"/>
        <v>15691519</v>
      </c>
      <c r="AT54" s="41">
        <f t="shared" si="1"/>
        <v>1698643</v>
      </c>
      <c r="AU54" s="41">
        <f t="shared" si="1"/>
        <v>8489372</v>
      </c>
      <c r="AV54" s="41">
        <f>AV60-AV36-AV30-AV24-AV18-AV12-AV6-AV42-AV48</f>
        <v>41</v>
      </c>
      <c r="AW54" s="41">
        <f>AW60-AW36-AW30-AW24-AW18-AW12-AW6-AW42-AW48</f>
        <v>380</v>
      </c>
      <c r="AX54" s="41">
        <f t="shared" si="1"/>
        <v>1008173</v>
      </c>
      <c r="AY54" s="41">
        <f t="shared" si="1"/>
        <v>3968842</v>
      </c>
      <c r="AZ54" s="41">
        <f t="shared" si="1"/>
        <v>32633</v>
      </c>
      <c r="BA54" s="41">
        <f t="shared" si="1"/>
        <v>109915</v>
      </c>
      <c r="BB54" s="41">
        <f t="shared" si="1"/>
        <v>10694</v>
      </c>
      <c r="BC54" s="41">
        <f t="shared" si="1"/>
        <v>45739</v>
      </c>
      <c r="BD54" s="41">
        <f t="shared" si="1"/>
        <v>169907</v>
      </c>
      <c r="BE54" s="41">
        <f t="shared" si="1"/>
        <v>1022246</v>
      </c>
      <c r="BF54" s="41">
        <f>BF60-BF36-BF30-BF24-BF18-BF12-BF6-BF42-BF48</f>
        <v>52111</v>
      </c>
      <c r="BG54" s="41">
        <f t="shared" si="1"/>
        <v>369269</v>
      </c>
      <c r="BH54" s="41">
        <f t="shared" si="1"/>
        <v>5824477</v>
      </c>
      <c r="BI54" s="41">
        <f t="shared" si="1"/>
        <v>21588535</v>
      </c>
      <c r="BJ54" s="41">
        <f t="shared" si="1"/>
        <v>648762</v>
      </c>
      <c r="BK54" s="41">
        <f t="shared" si="1"/>
        <v>3837500</v>
      </c>
      <c r="BL54" s="41">
        <f t="shared" si="1"/>
        <v>3033327</v>
      </c>
      <c r="BM54" s="41">
        <f t="shared" si="1"/>
        <v>10282804</v>
      </c>
      <c r="BN54" s="41">
        <f t="shared" si="1"/>
        <v>2449227</v>
      </c>
      <c r="BO54" s="41">
        <f>BO60-BO36-BO30-BO24-BN18-BO12-BO6-BO42-BO48</f>
        <v>8689091</v>
      </c>
      <c r="BP54" s="41">
        <f>B54+D54+F54+H54+J54+L54+N54+P54+R54+T54+V54+X54+Z54+AB54+AD54+AF54+AH54+AJ54+AL54+AN54+AP54+AR54+AT54+AV54+AX54+AZ54+BB54+BD54+BF54+BH54+BJ54+BL54+BN54</f>
        <v>33222655.972000014</v>
      </c>
      <c r="BQ54" s="41">
        <f>C54+E54+G54+I54+K54+M54+O54+Q54+S54+U54+W54+Y54+AA54+AC54+AE54+AG54+AI54+AK54+AM54+AO54+AQ54+AS54+AU54+AW54+AY54+BA54+BC54+BE54+BG54+BI54+BK54+BM54+BO54</f>
        <v>136120935.22</v>
      </c>
    </row>
    <row r="55" spans="1:69" x14ac:dyDescent="0.25">
      <c r="A55" s="65" t="s">
        <v>167</v>
      </c>
      <c r="B55" s="41">
        <f t="shared" si="0"/>
        <v>0</v>
      </c>
      <c r="C55" s="41">
        <f t="shared" si="0"/>
        <v>0</v>
      </c>
      <c r="D55" s="41">
        <f t="shared" si="0"/>
        <v>0</v>
      </c>
      <c r="E55" s="41">
        <f t="shared" si="0"/>
        <v>0</v>
      </c>
      <c r="F55" s="41"/>
      <c r="G55" s="41"/>
      <c r="H55" s="41">
        <f t="shared" si="1"/>
        <v>19691</v>
      </c>
      <c r="I55" s="41">
        <f t="shared" si="1"/>
        <v>63036</v>
      </c>
      <c r="J55" s="41">
        <f t="shared" si="1"/>
        <v>2184429</v>
      </c>
      <c r="K55" s="41">
        <f t="shared" si="1"/>
        <v>5774083</v>
      </c>
      <c r="L55" s="41">
        <f t="shared" si="1"/>
        <v>153269</v>
      </c>
      <c r="M55" s="41">
        <f t="shared" si="1"/>
        <v>616938</v>
      </c>
      <c r="N55" s="41">
        <f t="shared" si="1"/>
        <v>229099</v>
      </c>
      <c r="O55" s="41">
        <f t="shared" si="1"/>
        <v>835258</v>
      </c>
      <c r="P55" s="41">
        <f t="shared" si="1"/>
        <v>0</v>
      </c>
      <c r="Q55" s="41">
        <f t="shared" si="1"/>
        <v>0</v>
      </c>
      <c r="R55" s="41">
        <f t="shared" si="1"/>
        <v>0</v>
      </c>
      <c r="S55" s="41">
        <f t="shared" si="1"/>
        <v>0</v>
      </c>
      <c r="T55" s="41">
        <f t="shared" si="1"/>
        <v>0</v>
      </c>
      <c r="U55" s="41">
        <f t="shared" si="1"/>
        <v>0</v>
      </c>
      <c r="V55" s="41"/>
      <c r="W55" s="41"/>
      <c r="X55" s="41">
        <f t="shared" si="1"/>
        <v>211019</v>
      </c>
      <c r="Y55" s="41">
        <f t="shared" si="1"/>
        <v>603273</v>
      </c>
      <c r="Z55" s="41">
        <f t="shared" si="1"/>
        <v>643</v>
      </c>
      <c r="AA55" s="41">
        <f t="shared" si="1"/>
        <v>643</v>
      </c>
      <c r="AB55" s="41">
        <f t="shared" si="1"/>
        <v>684393</v>
      </c>
      <c r="AC55" s="41">
        <f t="shared" si="1"/>
        <v>3823021</v>
      </c>
      <c r="AD55" s="41">
        <f t="shared" si="1"/>
        <v>3096155</v>
      </c>
      <c r="AE55" s="41">
        <f t="shared" si="1"/>
        <v>9262323</v>
      </c>
      <c r="AF55" s="41">
        <f t="shared" si="1"/>
        <v>1420747</v>
      </c>
      <c r="AG55" s="41">
        <f t="shared" si="1"/>
        <v>2907416</v>
      </c>
      <c r="AH55" s="41">
        <f t="shared" si="1"/>
        <v>719</v>
      </c>
      <c r="AI55" s="41">
        <f t="shared" si="1"/>
        <v>1328</v>
      </c>
      <c r="AJ55" s="41">
        <f t="shared" si="1"/>
        <v>25952</v>
      </c>
      <c r="AK55" s="41">
        <f t="shared" si="1"/>
        <v>48998</v>
      </c>
      <c r="AL55" s="41">
        <f t="shared" si="1"/>
        <v>51373</v>
      </c>
      <c r="AM55" s="41">
        <f t="shared" si="1"/>
        <v>69784</v>
      </c>
      <c r="AN55" s="41">
        <f t="shared" si="1"/>
        <v>0</v>
      </c>
      <c r="AO55" s="41">
        <f t="shared" si="1"/>
        <v>0</v>
      </c>
      <c r="AP55" s="41">
        <f t="shared" ref="AP55:AS55" si="3">AP61-AP37-AP31-AP25-AP19-AP13-AP7-AP43-AP49</f>
        <v>3202374.4360000114</v>
      </c>
      <c r="AQ55" s="41">
        <f t="shared" si="3"/>
        <v>10272708.577999981</v>
      </c>
      <c r="AR55" s="41">
        <f t="shared" si="3"/>
        <v>2729447</v>
      </c>
      <c r="AS55" s="41">
        <f t="shared" si="3"/>
        <v>8239068</v>
      </c>
      <c r="AT55" s="41">
        <f t="shared" si="1"/>
        <v>-16006391</v>
      </c>
      <c r="AU55" s="41">
        <f t="shared" si="1"/>
        <v>-74797180</v>
      </c>
      <c r="AV55" s="41">
        <f>AV61-AV37-AV31-AV25-AV19-AV13-AV7-AV43-AV49</f>
        <v>-534</v>
      </c>
      <c r="AW55" s="41">
        <f>AW61-AW37-AW31-AW25-AW19-AW13-AW7-AW43-AW49</f>
        <v>2768</v>
      </c>
      <c r="AX55" s="41">
        <f t="shared" si="1"/>
        <v>-175274</v>
      </c>
      <c r="AY55" s="41">
        <f t="shared" si="1"/>
        <v>2184282</v>
      </c>
      <c r="AZ55" s="41">
        <f t="shared" si="1"/>
        <v>27281</v>
      </c>
      <c r="BA55" s="41">
        <f t="shared" si="1"/>
        <v>150527</v>
      </c>
      <c r="BB55" s="41">
        <f t="shared" si="1"/>
        <v>-10365</v>
      </c>
      <c r="BC55" s="41">
        <f t="shared" si="1"/>
        <v>34529</v>
      </c>
      <c r="BD55" s="41">
        <f t="shared" si="1"/>
        <v>533011</v>
      </c>
      <c r="BE55" s="41">
        <f t="shared" si="1"/>
        <v>1416889</v>
      </c>
      <c r="BF55" s="41">
        <f t="shared" si="1"/>
        <v>-4281</v>
      </c>
      <c r="BG55" s="41">
        <f t="shared" si="1"/>
        <v>76125</v>
      </c>
      <c r="BH55" s="41">
        <f t="shared" si="1"/>
        <v>4438287</v>
      </c>
      <c r="BI55" s="41">
        <f t="shared" si="1"/>
        <v>16920158</v>
      </c>
      <c r="BJ55" s="41">
        <f t="shared" si="1"/>
        <v>963855</v>
      </c>
      <c r="BK55" s="41">
        <f t="shared" si="1"/>
        <v>1786510</v>
      </c>
      <c r="BL55" s="41">
        <f t="shared" si="1"/>
        <v>1363884</v>
      </c>
      <c r="BM55" s="41">
        <f t="shared" si="1"/>
        <v>5756570</v>
      </c>
      <c r="BN55" s="41">
        <f t="shared" si="1"/>
        <v>1002354</v>
      </c>
      <c r="BO55" s="41">
        <f t="shared" si="1"/>
        <v>1436356</v>
      </c>
      <c r="BP55" s="41">
        <f>B55+D55+F55+H55+J55+L55+N55+P55+R55+T55+V55+X55+Z55+AB55+AD55+AF55+AH55+AJ55+AL55+AN55+AP55+AR55+AT55+AV55+AX55+AZ55+BB55+BD55+BF55+BH55+BJ55+BL55+BN55</f>
        <v>6141137.4360000119</v>
      </c>
      <c r="BQ55" s="41">
        <f>C55+E55+G55+I55+K55+M55+O55+Q55+S55+U55+W55+Y55+AA55+AC55+AE55+AG55+AI55+AK55+AM55+AO55+AQ55+AS55+AU55+AW55+AY55+BA55+BC55+BE55+BG55+BI55+BK55+BM55+BO55</f>
        <v>-2514588.4220000207</v>
      </c>
    </row>
    <row r="57" spans="1:69" x14ac:dyDescent="0.25">
      <c r="A57" s="63" t="s">
        <v>60</v>
      </c>
    </row>
    <row r="58" spans="1:69" s="12" customFormat="1" x14ac:dyDescent="0.25">
      <c r="A58" s="20" t="s">
        <v>0</v>
      </c>
      <c r="B58" s="160" t="s">
        <v>1</v>
      </c>
      <c r="C58" s="160"/>
      <c r="D58" s="160" t="s">
        <v>2</v>
      </c>
      <c r="E58" s="160"/>
      <c r="F58" s="160" t="s">
        <v>3</v>
      </c>
      <c r="G58" s="160"/>
      <c r="H58" s="160" t="s">
        <v>4</v>
      </c>
      <c r="I58" s="160"/>
      <c r="J58" s="160" t="s">
        <v>5</v>
      </c>
      <c r="K58" s="160"/>
      <c r="L58" s="160" t="s">
        <v>6</v>
      </c>
      <c r="M58" s="160"/>
      <c r="N58" s="160" t="s">
        <v>7</v>
      </c>
      <c r="O58" s="160"/>
      <c r="P58" s="160" t="s">
        <v>8</v>
      </c>
      <c r="Q58" s="160"/>
      <c r="R58" s="160" t="s">
        <v>9</v>
      </c>
      <c r="S58" s="160"/>
      <c r="T58" s="160" t="s">
        <v>10</v>
      </c>
      <c r="U58" s="160"/>
      <c r="V58" s="160" t="s">
        <v>11</v>
      </c>
      <c r="W58" s="160"/>
      <c r="X58" s="160" t="s">
        <v>12</v>
      </c>
      <c r="Y58" s="160"/>
      <c r="Z58" s="160" t="s">
        <v>13</v>
      </c>
      <c r="AA58" s="160"/>
      <c r="AB58" s="160" t="s">
        <v>14</v>
      </c>
      <c r="AC58" s="160"/>
      <c r="AD58" s="160" t="s">
        <v>15</v>
      </c>
      <c r="AE58" s="160"/>
      <c r="AF58" s="160" t="s">
        <v>16</v>
      </c>
      <c r="AG58" s="160"/>
      <c r="AH58" s="160" t="s">
        <v>17</v>
      </c>
      <c r="AI58" s="160"/>
      <c r="AJ58" s="160" t="s">
        <v>18</v>
      </c>
      <c r="AK58" s="160"/>
      <c r="AL58" s="160" t="s">
        <v>19</v>
      </c>
      <c r="AM58" s="160"/>
      <c r="AN58" s="160" t="s">
        <v>20</v>
      </c>
      <c r="AO58" s="160"/>
      <c r="AP58" s="160" t="s">
        <v>21</v>
      </c>
      <c r="AQ58" s="160"/>
      <c r="AR58" s="160" t="s">
        <v>109</v>
      </c>
      <c r="AS58" s="160"/>
      <c r="AT58" s="160" t="s">
        <v>110</v>
      </c>
      <c r="AU58" s="160"/>
      <c r="AV58" s="160" t="s">
        <v>22</v>
      </c>
      <c r="AW58" s="160"/>
      <c r="AX58" s="160" t="s">
        <v>23</v>
      </c>
      <c r="AY58" s="160"/>
      <c r="AZ58" s="160" t="s">
        <v>24</v>
      </c>
      <c r="BA58" s="160"/>
      <c r="BB58" s="160" t="s">
        <v>25</v>
      </c>
      <c r="BC58" s="160"/>
      <c r="BD58" s="160" t="s">
        <v>26</v>
      </c>
      <c r="BE58" s="160"/>
      <c r="BF58" s="160" t="s">
        <v>27</v>
      </c>
      <c r="BG58" s="160"/>
      <c r="BH58" s="160" t="s">
        <v>28</v>
      </c>
      <c r="BI58" s="160"/>
      <c r="BJ58" s="160" t="s">
        <v>29</v>
      </c>
      <c r="BK58" s="160"/>
      <c r="BL58" s="160" t="s">
        <v>30</v>
      </c>
      <c r="BM58" s="160"/>
      <c r="BN58" s="160" t="s">
        <v>31</v>
      </c>
      <c r="BO58" s="160"/>
      <c r="BP58" s="160" t="s">
        <v>150</v>
      </c>
      <c r="BQ58" s="160"/>
    </row>
    <row r="59" spans="1:69" s="39" customFormat="1" ht="44.25" customHeight="1" x14ac:dyDescent="0.25">
      <c r="A59" s="40"/>
      <c r="B59" s="40" t="s">
        <v>161</v>
      </c>
      <c r="C59" s="40" t="s">
        <v>162</v>
      </c>
      <c r="D59" s="40" t="s">
        <v>161</v>
      </c>
      <c r="E59" s="40" t="s">
        <v>162</v>
      </c>
      <c r="F59" s="40" t="s">
        <v>161</v>
      </c>
      <c r="G59" s="40" t="s">
        <v>162</v>
      </c>
      <c r="H59" s="40" t="s">
        <v>161</v>
      </c>
      <c r="I59" s="40" t="s">
        <v>162</v>
      </c>
      <c r="J59" s="40" t="s">
        <v>161</v>
      </c>
      <c r="K59" s="40" t="s">
        <v>162</v>
      </c>
      <c r="L59" s="40" t="s">
        <v>161</v>
      </c>
      <c r="M59" s="40" t="s">
        <v>162</v>
      </c>
      <c r="N59" s="40" t="s">
        <v>161</v>
      </c>
      <c r="O59" s="40" t="s">
        <v>162</v>
      </c>
      <c r="P59" s="40" t="s">
        <v>161</v>
      </c>
      <c r="Q59" s="40" t="s">
        <v>162</v>
      </c>
      <c r="R59" s="40" t="s">
        <v>161</v>
      </c>
      <c r="S59" s="40" t="s">
        <v>162</v>
      </c>
      <c r="T59" s="40" t="s">
        <v>161</v>
      </c>
      <c r="U59" s="40" t="s">
        <v>162</v>
      </c>
      <c r="V59" s="40" t="s">
        <v>161</v>
      </c>
      <c r="W59" s="40" t="s">
        <v>162</v>
      </c>
      <c r="X59" s="40" t="s">
        <v>161</v>
      </c>
      <c r="Y59" s="40" t="s">
        <v>162</v>
      </c>
      <c r="Z59" s="40" t="s">
        <v>161</v>
      </c>
      <c r="AA59" s="40" t="s">
        <v>162</v>
      </c>
      <c r="AB59" s="40" t="s">
        <v>161</v>
      </c>
      <c r="AC59" s="40" t="s">
        <v>162</v>
      </c>
      <c r="AD59" s="40" t="s">
        <v>161</v>
      </c>
      <c r="AE59" s="40" t="s">
        <v>162</v>
      </c>
      <c r="AF59" s="40" t="s">
        <v>161</v>
      </c>
      <c r="AG59" s="40" t="s">
        <v>162</v>
      </c>
      <c r="AH59" s="40" t="s">
        <v>161</v>
      </c>
      <c r="AI59" s="40" t="s">
        <v>162</v>
      </c>
      <c r="AJ59" s="40" t="s">
        <v>161</v>
      </c>
      <c r="AK59" s="40" t="s">
        <v>162</v>
      </c>
      <c r="AL59" s="40" t="s">
        <v>161</v>
      </c>
      <c r="AM59" s="40" t="s">
        <v>162</v>
      </c>
      <c r="AN59" s="40" t="s">
        <v>161</v>
      </c>
      <c r="AO59" s="40" t="s">
        <v>162</v>
      </c>
      <c r="AP59" s="40" t="s">
        <v>161</v>
      </c>
      <c r="AQ59" s="40" t="s">
        <v>162</v>
      </c>
      <c r="AR59" s="40" t="s">
        <v>161</v>
      </c>
      <c r="AS59" s="40" t="s">
        <v>162</v>
      </c>
      <c r="AT59" s="40" t="s">
        <v>161</v>
      </c>
      <c r="AU59" s="40" t="s">
        <v>162</v>
      </c>
      <c r="AV59" s="40" t="s">
        <v>161</v>
      </c>
      <c r="AW59" s="40" t="s">
        <v>162</v>
      </c>
      <c r="AX59" s="40" t="s">
        <v>161</v>
      </c>
      <c r="AY59" s="40" t="s">
        <v>162</v>
      </c>
      <c r="AZ59" s="40" t="s">
        <v>161</v>
      </c>
      <c r="BA59" s="40" t="s">
        <v>162</v>
      </c>
      <c r="BB59" s="40" t="s">
        <v>161</v>
      </c>
      <c r="BC59" s="40" t="s">
        <v>162</v>
      </c>
      <c r="BD59" s="40" t="s">
        <v>161</v>
      </c>
      <c r="BE59" s="40" t="s">
        <v>162</v>
      </c>
      <c r="BF59" s="40" t="s">
        <v>161</v>
      </c>
      <c r="BG59" s="40" t="s">
        <v>162</v>
      </c>
      <c r="BH59" s="40" t="s">
        <v>161</v>
      </c>
      <c r="BI59" s="40" t="s">
        <v>162</v>
      </c>
      <c r="BJ59" s="40" t="s">
        <v>161</v>
      </c>
      <c r="BK59" s="40" t="s">
        <v>162</v>
      </c>
      <c r="BL59" s="40" t="s">
        <v>161</v>
      </c>
      <c r="BM59" s="40" t="s">
        <v>162</v>
      </c>
      <c r="BN59" s="40" t="s">
        <v>161</v>
      </c>
      <c r="BO59" s="40" t="s">
        <v>162</v>
      </c>
      <c r="BP59" s="40" t="s">
        <v>161</v>
      </c>
      <c r="BQ59" s="40" t="s">
        <v>162</v>
      </c>
    </row>
    <row r="60" spans="1:69" x14ac:dyDescent="0.25">
      <c r="A60" s="65" t="s">
        <v>166</v>
      </c>
      <c r="B60" s="41"/>
      <c r="C60" s="41"/>
      <c r="D60" s="41">
        <v>438660</v>
      </c>
      <c r="E60" s="41">
        <v>1265328</v>
      </c>
      <c r="F60" s="41">
        <v>2995373</v>
      </c>
      <c r="G60" s="41">
        <v>45772667</v>
      </c>
      <c r="H60" s="41">
        <v>2218723</v>
      </c>
      <c r="I60" s="41">
        <v>8690906</v>
      </c>
      <c r="J60" s="41">
        <v>10154374</v>
      </c>
      <c r="K60" s="41">
        <v>41399905</v>
      </c>
      <c r="L60" s="41">
        <v>1862663</v>
      </c>
      <c r="M60" s="41">
        <v>8822960</v>
      </c>
      <c r="N60" s="41">
        <v>4801731</v>
      </c>
      <c r="O60" s="41">
        <v>16056276</v>
      </c>
      <c r="P60" s="41">
        <v>456907</v>
      </c>
      <c r="Q60" s="41">
        <v>1178049</v>
      </c>
      <c r="R60" s="41">
        <v>1056</v>
      </c>
      <c r="S60" s="41">
        <v>1090</v>
      </c>
      <c r="T60" s="41"/>
      <c r="U60" s="41"/>
      <c r="V60" s="41">
        <v>5206688.1500000004</v>
      </c>
      <c r="W60" s="41">
        <v>12831655.91</v>
      </c>
      <c r="X60" s="41">
        <v>2383432</v>
      </c>
      <c r="Y60" s="41">
        <v>9121537</v>
      </c>
      <c r="Z60" s="41">
        <v>3676</v>
      </c>
      <c r="AA60" s="41">
        <v>3683</v>
      </c>
      <c r="AB60" s="41">
        <v>8243440</v>
      </c>
      <c r="AC60" s="41">
        <v>40142027</v>
      </c>
      <c r="AD60" s="41">
        <v>12828736</v>
      </c>
      <c r="AE60" s="41">
        <v>54240171</v>
      </c>
      <c r="AF60" s="41">
        <v>9362276</v>
      </c>
      <c r="AG60" s="41">
        <v>31735082</v>
      </c>
      <c r="AH60" s="41">
        <v>119932</v>
      </c>
      <c r="AI60" s="41">
        <v>374209</v>
      </c>
      <c r="AJ60" s="41">
        <v>871119</v>
      </c>
      <c r="AK60" s="41">
        <v>2953251</v>
      </c>
      <c r="AL60" s="41">
        <v>725720</v>
      </c>
      <c r="AM60" s="41">
        <v>1879945</v>
      </c>
      <c r="AN60" s="41">
        <v>985744</v>
      </c>
      <c r="AO60" s="41">
        <v>3674444</v>
      </c>
      <c r="AP60" s="41">
        <v>53042749.145000011</v>
      </c>
      <c r="AQ60" s="41">
        <v>122471951.40000001</v>
      </c>
      <c r="AR60" s="41">
        <v>55364314</v>
      </c>
      <c r="AS60" s="41">
        <v>174089768</v>
      </c>
      <c r="AT60" s="41">
        <v>30857166</v>
      </c>
      <c r="AU60" s="41">
        <v>93934568</v>
      </c>
      <c r="AV60" s="41">
        <v>11318</v>
      </c>
      <c r="AW60" s="41">
        <v>39740</v>
      </c>
      <c r="AX60" s="41">
        <v>8279426</v>
      </c>
      <c r="AY60" s="41">
        <v>27471847</v>
      </c>
      <c r="AZ60" s="41">
        <v>1328273</v>
      </c>
      <c r="BA60" s="41">
        <v>4228549</v>
      </c>
      <c r="BB60" s="41">
        <v>4001916</v>
      </c>
      <c r="BC60" s="41">
        <v>13234180</v>
      </c>
      <c r="BD60" s="41">
        <v>3200241</v>
      </c>
      <c r="BE60" s="41">
        <v>10793910</v>
      </c>
      <c r="BF60" s="41">
        <v>4124393</v>
      </c>
      <c r="BG60" s="41">
        <v>11164451</v>
      </c>
      <c r="BH60" s="41">
        <v>5824477</v>
      </c>
      <c r="BI60" s="41">
        <v>21588535</v>
      </c>
      <c r="BJ60" s="41">
        <v>6916527</v>
      </c>
      <c r="BK60" s="41">
        <v>24062450</v>
      </c>
      <c r="BL60" s="41">
        <v>34757795</v>
      </c>
      <c r="BM60" s="41">
        <v>127356419</v>
      </c>
      <c r="BN60" s="41">
        <v>3959163</v>
      </c>
      <c r="BO60" s="41">
        <v>11469163</v>
      </c>
      <c r="BP60" s="41">
        <f>B60+D60+F60+H60+J60+L60+N60+P60+R60+T60+V60+X60+Z60+AB60+AD60+AF60+AH60+AJ60+AL60+AN60+AP60+AR60+AT60+AV60+AX60+AZ60+BB60+BD60+BF60+BH60+BJ60+BL60+BN60</f>
        <v>275328008.29500002</v>
      </c>
      <c r="BQ60" s="41">
        <f>C60+E60+G60+I60+K60+M60+O60+Q60+S60+U60+W60+Y60+AA60+AC60+AE60+AG60+AI60+AK60+AM60+AO60+AQ60+AS60+AU60+AW60+AY60+BA60+BC60+BE60+BG60+BI60+BK60+BM60+BO60</f>
        <v>922048717.30999994</v>
      </c>
    </row>
    <row r="61" spans="1:69" x14ac:dyDescent="0.25">
      <c r="A61" s="65" t="s">
        <v>167</v>
      </c>
      <c r="B61" s="41">
        <v>1005.967</v>
      </c>
      <c r="C61" s="41">
        <v>1015.009</v>
      </c>
      <c r="D61" s="41">
        <v>414629</v>
      </c>
      <c r="E61" s="41">
        <v>1353467</v>
      </c>
      <c r="F61" s="41">
        <v>5177079</v>
      </c>
      <c r="G61" s="41">
        <v>18192295</v>
      </c>
      <c r="H61" s="41">
        <v>2144796</v>
      </c>
      <c r="I61" s="41">
        <v>7898751</v>
      </c>
      <c r="J61" s="41">
        <v>11200966</v>
      </c>
      <c r="K61" s="41">
        <v>40425732</v>
      </c>
      <c r="L61" s="41">
        <v>2507333</v>
      </c>
      <c r="M61" s="41">
        <v>10067326</v>
      </c>
      <c r="N61" s="41">
        <v>5268105</v>
      </c>
      <c r="O61" s="41">
        <v>20483627</v>
      </c>
      <c r="P61" s="41">
        <v>386526</v>
      </c>
      <c r="Q61" s="41">
        <v>1232013</v>
      </c>
      <c r="R61" s="41">
        <v>16716</v>
      </c>
      <c r="S61" s="41">
        <v>18243</v>
      </c>
      <c r="T61" s="41">
        <v>19</v>
      </c>
      <c r="U61" s="41">
        <v>19</v>
      </c>
      <c r="V61" s="41">
        <v>2731463.36</v>
      </c>
      <c r="W61" s="41">
        <v>11385881.99</v>
      </c>
      <c r="X61" s="41">
        <v>2737179</v>
      </c>
      <c r="Y61" s="41">
        <v>9693520</v>
      </c>
      <c r="Z61" s="41">
        <v>67786</v>
      </c>
      <c r="AA61" s="41">
        <v>70133</v>
      </c>
      <c r="AB61" s="41">
        <v>5937043</v>
      </c>
      <c r="AC61" s="41">
        <v>22266806</v>
      </c>
      <c r="AD61" s="41">
        <v>14267366</v>
      </c>
      <c r="AE61" s="41">
        <v>53147238</v>
      </c>
      <c r="AF61" s="41">
        <v>8021546</v>
      </c>
      <c r="AG61" s="41">
        <v>26827078</v>
      </c>
      <c r="AH61" s="41">
        <v>261793</v>
      </c>
      <c r="AI61" s="41">
        <v>830304</v>
      </c>
      <c r="AJ61" s="41">
        <v>1222795</v>
      </c>
      <c r="AK61" s="41">
        <v>4030935</v>
      </c>
      <c r="AL61" s="41">
        <v>737571</v>
      </c>
      <c r="AM61" s="41">
        <v>2774202</v>
      </c>
      <c r="AN61" s="41">
        <v>720672</v>
      </c>
      <c r="AO61" s="41">
        <v>2890226</v>
      </c>
      <c r="AP61" s="41">
        <v>50943259.69000002</v>
      </c>
      <c r="AQ61" s="41">
        <v>128706777.10499999</v>
      </c>
      <c r="AR61" s="41">
        <v>45406360</v>
      </c>
      <c r="AS61" s="41">
        <v>168964658</v>
      </c>
      <c r="AT61" s="41">
        <v>689765</v>
      </c>
      <c r="AU61" s="41">
        <v>2597015</v>
      </c>
      <c r="AV61" s="41">
        <v>106739</v>
      </c>
      <c r="AW61" s="41">
        <v>460239</v>
      </c>
      <c r="AX61" s="41">
        <v>5950265</v>
      </c>
      <c r="AY61" s="41">
        <v>24191365</v>
      </c>
      <c r="AZ61" s="41">
        <v>1085714</v>
      </c>
      <c r="BA61" s="41">
        <v>3532103</v>
      </c>
      <c r="BB61" s="41">
        <v>4040992</v>
      </c>
      <c r="BC61" s="41">
        <v>15603730</v>
      </c>
      <c r="BD61" s="41">
        <v>3709501</v>
      </c>
      <c r="BE61" s="41">
        <v>13164469</v>
      </c>
      <c r="BF61" s="41">
        <v>4271608</v>
      </c>
      <c r="BG61" s="41">
        <v>17389975</v>
      </c>
      <c r="BH61" s="41">
        <v>4438287</v>
      </c>
      <c r="BI61" s="41">
        <v>16920158</v>
      </c>
      <c r="BJ61" s="41">
        <v>6436636</v>
      </c>
      <c r="BK61" s="41">
        <v>23660712</v>
      </c>
      <c r="BL61" s="41">
        <v>35187768</v>
      </c>
      <c r="BM61" s="41">
        <v>121378149</v>
      </c>
      <c r="BN61" s="41">
        <v>2709318</v>
      </c>
      <c r="BO61" s="41">
        <v>6740334</v>
      </c>
      <c r="BP61" s="41">
        <f>B61+D61+F61+H61+J61+L61+N61+P61+R61+T61+V61+X61+Z61+AB61+AD61+AF61+AH61+AJ61+AL61+AN61+AP61+AR61+AT61+AV61+AX61+AZ61+BB61+BD61+BF61+BH61+BJ61+BL61+BN61</f>
        <v>228798602.01700002</v>
      </c>
      <c r="BQ61" s="41">
        <f>C61+E61+G61+I61+K61+M61+O61+Q61+S61+U61+W61+Y61+AA61+AC61+AE61+AG61+AI61+AK61+AM61+AO61+AQ61+AS61+AU61+AW61+AY61+BA61+BC61+BE61+BG61+BI61+BK61+BM61+BO61</f>
        <v>776898496.10399997</v>
      </c>
    </row>
  </sheetData>
  <mergeCells count="340"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H4:BI4"/>
    <mergeCell ref="BJ4:BK4"/>
    <mergeCell ref="BL4:BM4"/>
    <mergeCell ref="BN4:BO4"/>
    <mergeCell ref="BP4:BQ4"/>
    <mergeCell ref="B10:C10"/>
    <mergeCell ref="D10:E10"/>
    <mergeCell ref="F10:G10"/>
    <mergeCell ref="H10:I10"/>
    <mergeCell ref="J10:K10"/>
    <mergeCell ref="AX4:AY4"/>
    <mergeCell ref="AZ4:BA4"/>
    <mergeCell ref="BB4:BC4"/>
    <mergeCell ref="BD4:BE4"/>
    <mergeCell ref="BF4:BG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BL10:BM10"/>
    <mergeCell ref="BN10:BO10"/>
    <mergeCell ref="BP10:BQ10"/>
    <mergeCell ref="AV10:AW10"/>
    <mergeCell ref="AX10:AY10"/>
    <mergeCell ref="AZ10:BA10"/>
    <mergeCell ref="BB10:BC10"/>
    <mergeCell ref="BD10:BE10"/>
    <mergeCell ref="R10:S10"/>
    <mergeCell ref="T10:U10"/>
    <mergeCell ref="V10:W10"/>
    <mergeCell ref="B16:C16"/>
    <mergeCell ref="D16:E16"/>
    <mergeCell ref="F16:G16"/>
    <mergeCell ref="H16:I16"/>
    <mergeCell ref="J16:K16"/>
    <mergeCell ref="L16:M16"/>
    <mergeCell ref="BF10:BG10"/>
    <mergeCell ref="BH10:BI10"/>
    <mergeCell ref="BJ10:BK10"/>
    <mergeCell ref="AJ10:AK10"/>
    <mergeCell ref="AL10:AM10"/>
    <mergeCell ref="AN10:AO10"/>
    <mergeCell ref="AP10:AQ10"/>
    <mergeCell ref="AR10:AS10"/>
    <mergeCell ref="AT10:AU10"/>
    <mergeCell ref="X10:Y10"/>
    <mergeCell ref="Z10:AA10"/>
    <mergeCell ref="AB10:AC10"/>
    <mergeCell ref="AD10:AE10"/>
    <mergeCell ref="AF10:AG10"/>
    <mergeCell ref="AH10:AI10"/>
    <mergeCell ref="L10:M10"/>
    <mergeCell ref="N10:O10"/>
    <mergeCell ref="P10:Q10"/>
    <mergeCell ref="AF16:AG16"/>
    <mergeCell ref="AH16:AI16"/>
    <mergeCell ref="AJ16:AK16"/>
    <mergeCell ref="N16:O16"/>
    <mergeCell ref="P16:Q16"/>
    <mergeCell ref="R16:S16"/>
    <mergeCell ref="T16:U16"/>
    <mergeCell ref="V16:W16"/>
    <mergeCell ref="X16:Y16"/>
    <mergeCell ref="BH16:BI16"/>
    <mergeCell ref="BJ16:BK16"/>
    <mergeCell ref="BL16:BM16"/>
    <mergeCell ref="BN16:BO16"/>
    <mergeCell ref="BP16:BQ16"/>
    <mergeCell ref="B22:C22"/>
    <mergeCell ref="D22:E22"/>
    <mergeCell ref="F22:G22"/>
    <mergeCell ref="H22:I22"/>
    <mergeCell ref="J22:K22"/>
    <mergeCell ref="AX16:AY16"/>
    <mergeCell ref="AZ16:BA16"/>
    <mergeCell ref="BB16:BC16"/>
    <mergeCell ref="BD16:BE16"/>
    <mergeCell ref="BF16:BG16"/>
    <mergeCell ref="AL16:AM16"/>
    <mergeCell ref="AN16:AO16"/>
    <mergeCell ref="AP16:AQ16"/>
    <mergeCell ref="AR16:AS16"/>
    <mergeCell ref="AT16:AU16"/>
    <mergeCell ref="AV16:AW16"/>
    <mergeCell ref="Z16:AA16"/>
    <mergeCell ref="AB16:AC16"/>
    <mergeCell ref="AD16:AE16"/>
    <mergeCell ref="BL22:BM22"/>
    <mergeCell ref="BN22:BO22"/>
    <mergeCell ref="BP22:BQ22"/>
    <mergeCell ref="AV22:AW22"/>
    <mergeCell ref="AX22:AY22"/>
    <mergeCell ref="AZ22:BA22"/>
    <mergeCell ref="BB22:BC22"/>
    <mergeCell ref="BD22:BE22"/>
    <mergeCell ref="R22:S22"/>
    <mergeCell ref="T22:U22"/>
    <mergeCell ref="V22:W22"/>
    <mergeCell ref="B28:C28"/>
    <mergeCell ref="D28:E28"/>
    <mergeCell ref="F28:G28"/>
    <mergeCell ref="H28:I28"/>
    <mergeCell ref="J28:K28"/>
    <mergeCell ref="L28:M28"/>
    <mergeCell ref="BF22:BG22"/>
    <mergeCell ref="BH22:BI22"/>
    <mergeCell ref="BJ22:BK22"/>
    <mergeCell ref="AJ22:AK22"/>
    <mergeCell ref="AL22:AM22"/>
    <mergeCell ref="AN22:AO22"/>
    <mergeCell ref="AP22:AQ22"/>
    <mergeCell ref="AR22:AS22"/>
    <mergeCell ref="AT22:AU22"/>
    <mergeCell ref="X22:Y22"/>
    <mergeCell ref="Z22:AA22"/>
    <mergeCell ref="AB22:AC22"/>
    <mergeCell ref="AD22:AE22"/>
    <mergeCell ref="AF22:AG22"/>
    <mergeCell ref="AH22:AI22"/>
    <mergeCell ref="L22:M22"/>
    <mergeCell ref="N22:O22"/>
    <mergeCell ref="P22:Q22"/>
    <mergeCell ref="AF28:AG28"/>
    <mergeCell ref="AH28:AI28"/>
    <mergeCell ref="AJ28:AK28"/>
    <mergeCell ref="N28:O28"/>
    <mergeCell ref="P28:Q28"/>
    <mergeCell ref="R28:S28"/>
    <mergeCell ref="T28:U28"/>
    <mergeCell ref="V28:W28"/>
    <mergeCell ref="X28:Y28"/>
    <mergeCell ref="BH28:BI28"/>
    <mergeCell ref="BJ28:BK28"/>
    <mergeCell ref="BL28:BM28"/>
    <mergeCell ref="BN28:BO28"/>
    <mergeCell ref="BP28:BQ28"/>
    <mergeCell ref="B34:C34"/>
    <mergeCell ref="D34:E34"/>
    <mergeCell ref="F34:G34"/>
    <mergeCell ref="H34:I34"/>
    <mergeCell ref="J34:K34"/>
    <mergeCell ref="AX28:AY28"/>
    <mergeCell ref="AZ28:BA28"/>
    <mergeCell ref="BB28:BC28"/>
    <mergeCell ref="BD28:BE28"/>
    <mergeCell ref="BF28:BG28"/>
    <mergeCell ref="AL28:AM28"/>
    <mergeCell ref="AN28:AO28"/>
    <mergeCell ref="AP28:AQ28"/>
    <mergeCell ref="AR28:AS28"/>
    <mergeCell ref="AT28:AU28"/>
    <mergeCell ref="AV28:AW28"/>
    <mergeCell ref="Z28:AA28"/>
    <mergeCell ref="AB28:AC28"/>
    <mergeCell ref="AD28:AE28"/>
    <mergeCell ref="BL34:BM34"/>
    <mergeCell ref="BN34:BO34"/>
    <mergeCell ref="BP34:BQ34"/>
    <mergeCell ref="AV34:AW34"/>
    <mergeCell ref="AX34:AY34"/>
    <mergeCell ref="AZ34:BA34"/>
    <mergeCell ref="BB34:BC34"/>
    <mergeCell ref="BD34:BE34"/>
    <mergeCell ref="R34:S34"/>
    <mergeCell ref="T34:U34"/>
    <mergeCell ref="V34:W34"/>
    <mergeCell ref="B40:C40"/>
    <mergeCell ref="D40:E40"/>
    <mergeCell ref="F40:G40"/>
    <mergeCell ref="H40:I40"/>
    <mergeCell ref="J40:K40"/>
    <mergeCell ref="L40:M40"/>
    <mergeCell ref="BF34:BG34"/>
    <mergeCell ref="BH34:BI34"/>
    <mergeCell ref="BJ34:BK34"/>
    <mergeCell ref="AJ34:AK34"/>
    <mergeCell ref="AL34:AM34"/>
    <mergeCell ref="AN34:AO34"/>
    <mergeCell ref="AP34:AQ34"/>
    <mergeCell ref="AR34:AS34"/>
    <mergeCell ref="AT34:AU34"/>
    <mergeCell ref="X34:Y34"/>
    <mergeCell ref="Z34:AA34"/>
    <mergeCell ref="AB34:AC34"/>
    <mergeCell ref="AD34:AE34"/>
    <mergeCell ref="AF34:AG34"/>
    <mergeCell ref="AH34:AI34"/>
    <mergeCell ref="L34:M34"/>
    <mergeCell ref="N34:O34"/>
    <mergeCell ref="P34:Q34"/>
    <mergeCell ref="AF40:AG40"/>
    <mergeCell ref="AH40:AI40"/>
    <mergeCell ref="AJ40:AK40"/>
    <mergeCell ref="N40:O40"/>
    <mergeCell ref="P40:Q40"/>
    <mergeCell ref="R40:S40"/>
    <mergeCell ref="T40:U40"/>
    <mergeCell ref="V40:W40"/>
    <mergeCell ref="X40:Y40"/>
    <mergeCell ref="BH40:BI40"/>
    <mergeCell ref="BJ40:BK40"/>
    <mergeCell ref="BL40:BM40"/>
    <mergeCell ref="BN40:BO40"/>
    <mergeCell ref="BP40:BQ40"/>
    <mergeCell ref="B46:C46"/>
    <mergeCell ref="D46:E46"/>
    <mergeCell ref="F46:G46"/>
    <mergeCell ref="H46:I46"/>
    <mergeCell ref="J46:K46"/>
    <mergeCell ref="AX40:AY40"/>
    <mergeCell ref="AZ40:BA40"/>
    <mergeCell ref="BB40:BC40"/>
    <mergeCell ref="BD40:BE40"/>
    <mergeCell ref="BF40:BG40"/>
    <mergeCell ref="AL40:AM40"/>
    <mergeCell ref="AN40:AO40"/>
    <mergeCell ref="AP40:AQ40"/>
    <mergeCell ref="AR40:AS40"/>
    <mergeCell ref="AT40:AU40"/>
    <mergeCell ref="AV40:AW40"/>
    <mergeCell ref="Z40:AA40"/>
    <mergeCell ref="AB40:AC40"/>
    <mergeCell ref="AD40:AE40"/>
    <mergeCell ref="BL46:BM46"/>
    <mergeCell ref="BN46:BO46"/>
    <mergeCell ref="BP46:BQ46"/>
    <mergeCell ref="AV46:AW46"/>
    <mergeCell ref="AX46:AY46"/>
    <mergeCell ref="AZ46:BA46"/>
    <mergeCell ref="BB46:BC46"/>
    <mergeCell ref="BD46:BE46"/>
    <mergeCell ref="R46:S46"/>
    <mergeCell ref="T46:U46"/>
    <mergeCell ref="V46:W46"/>
    <mergeCell ref="D52:E52"/>
    <mergeCell ref="F52:G52"/>
    <mergeCell ref="H52:I52"/>
    <mergeCell ref="J52:K52"/>
    <mergeCell ref="L52:M52"/>
    <mergeCell ref="BF46:BG46"/>
    <mergeCell ref="BH46:BI46"/>
    <mergeCell ref="BJ46:BK46"/>
    <mergeCell ref="AJ46:AK46"/>
    <mergeCell ref="AL46:AM46"/>
    <mergeCell ref="AN46:AO46"/>
    <mergeCell ref="AP46:AQ46"/>
    <mergeCell ref="AR46:AS46"/>
    <mergeCell ref="AT46:AU46"/>
    <mergeCell ref="X46:Y46"/>
    <mergeCell ref="Z46:AA46"/>
    <mergeCell ref="AB46:AC46"/>
    <mergeCell ref="AD46:AE46"/>
    <mergeCell ref="AF46:AG46"/>
    <mergeCell ref="AH46:AI46"/>
    <mergeCell ref="L46:M46"/>
    <mergeCell ref="N46:O46"/>
    <mergeCell ref="P46:Q46"/>
    <mergeCell ref="BN52:BO52"/>
    <mergeCell ref="BP52:BQ52"/>
    <mergeCell ref="B58:C58"/>
    <mergeCell ref="D58:E58"/>
    <mergeCell ref="F58:G58"/>
    <mergeCell ref="H58:I58"/>
    <mergeCell ref="J58:K58"/>
    <mergeCell ref="AX52:AY52"/>
    <mergeCell ref="AZ52:BA52"/>
    <mergeCell ref="BB52:BC52"/>
    <mergeCell ref="BD52:BE52"/>
    <mergeCell ref="BF52:BG52"/>
    <mergeCell ref="AL52:AM52"/>
    <mergeCell ref="AN52:AO52"/>
    <mergeCell ref="AP52:AQ52"/>
    <mergeCell ref="AR52:AS52"/>
    <mergeCell ref="AT52:AU52"/>
    <mergeCell ref="AV52:AW52"/>
    <mergeCell ref="Z52:AA52"/>
    <mergeCell ref="AB52:AC52"/>
    <mergeCell ref="AD52:AE52"/>
    <mergeCell ref="AF52:AG52"/>
    <mergeCell ref="AH52:AI52"/>
    <mergeCell ref="B52:C52"/>
    <mergeCell ref="L58:M58"/>
    <mergeCell ref="N58:O58"/>
    <mergeCell ref="P58:Q58"/>
    <mergeCell ref="R58:S58"/>
    <mergeCell ref="T58:U58"/>
    <mergeCell ref="V58:W58"/>
    <mergeCell ref="BH52:BI52"/>
    <mergeCell ref="BJ52:BK52"/>
    <mergeCell ref="BL52:BM52"/>
    <mergeCell ref="AJ52:AK52"/>
    <mergeCell ref="N52:O52"/>
    <mergeCell ref="P52:Q52"/>
    <mergeCell ref="R52:S52"/>
    <mergeCell ref="T52:U52"/>
    <mergeCell ref="V52:W52"/>
    <mergeCell ref="X52:Y52"/>
    <mergeCell ref="AJ58:AK58"/>
    <mergeCell ref="AL58:AM58"/>
    <mergeCell ref="AN58:AO58"/>
    <mergeCell ref="AP58:AQ58"/>
    <mergeCell ref="AR58:AS58"/>
    <mergeCell ref="AT58:AU58"/>
    <mergeCell ref="X58:Y58"/>
    <mergeCell ref="Z58:AA58"/>
    <mergeCell ref="BP58:BQ58"/>
    <mergeCell ref="AV58:AW58"/>
    <mergeCell ref="AX58:AY58"/>
    <mergeCell ref="AZ58:BA58"/>
    <mergeCell ref="BB58:BC58"/>
    <mergeCell ref="BD58:BE58"/>
    <mergeCell ref="AB58:AC58"/>
    <mergeCell ref="AD58:AE58"/>
    <mergeCell ref="AF58:AG58"/>
    <mergeCell ref="AH58:AI58"/>
    <mergeCell ref="BF58:BG58"/>
    <mergeCell ref="BH58:BI58"/>
    <mergeCell ref="BJ58:BK58"/>
    <mergeCell ref="BL58:BM58"/>
    <mergeCell ref="BN58:BO5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1"/>
  <sheetViews>
    <sheetView workbookViewId="0">
      <pane xSplit="1" ySplit="4" topLeftCell="B5" activePane="bottomRight" state="frozen"/>
      <selection activeCell="K10" sqref="K10"/>
      <selection pane="topRight" activeCell="K10" sqref="K10"/>
      <selection pane="bottomLeft" activeCell="K10" sqref="K10"/>
      <selection pane="bottomRight" activeCell="B2" sqref="B2"/>
    </sheetView>
  </sheetViews>
  <sheetFormatPr defaultRowHeight="15" x14ac:dyDescent="0.25"/>
  <cols>
    <col min="1" max="1" width="30.85546875" style="7" customWidth="1"/>
    <col min="2" max="69" width="14.85546875" style="7" customWidth="1"/>
    <col min="70" max="16384" width="9.140625" style="7"/>
  </cols>
  <sheetData>
    <row r="1" spans="1:69" ht="18.75" x14ac:dyDescent="0.3">
      <c r="A1" s="38" t="s">
        <v>168</v>
      </c>
    </row>
    <row r="2" spans="1:69" x14ac:dyDescent="0.25">
      <c r="A2" s="7" t="s">
        <v>42</v>
      </c>
    </row>
    <row r="3" spans="1:69" x14ac:dyDescent="0.25">
      <c r="A3" s="10" t="s">
        <v>104</v>
      </c>
    </row>
    <row r="4" spans="1:69" s="12" customFormat="1" x14ac:dyDescent="0.25">
      <c r="A4" s="20" t="s">
        <v>0</v>
      </c>
      <c r="B4" s="160" t="s">
        <v>1</v>
      </c>
      <c r="C4" s="160"/>
      <c r="D4" s="160" t="s">
        <v>2</v>
      </c>
      <c r="E4" s="160"/>
      <c r="F4" s="160" t="s">
        <v>3</v>
      </c>
      <c r="G4" s="160"/>
      <c r="H4" s="160" t="s">
        <v>4</v>
      </c>
      <c r="I4" s="160"/>
      <c r="J4" s="160" t="s">
        <v>5</v>
      </c>
      <c r="K4" s="160"/>
      <c r="L4" s="160" t="s">
        <v>6</v>
      </c>
      <c r="M4" s="160"/>
      <c r="N4" s="160" t="s">
        <v>7</v>
      </c>
      <c r="O4" s="160"/>
      <c r="P4" s="160" t="s">
        <v>8</v>
      </c>
      <c r="Q4" s="160"/>
      <c r="R4" s="160" t="s">
        <v>9</v>
      </c>
      <c r="S4" s="160"/>
      <c r="T4" s="160" t="s">
        <v>10</v>
      </c>
      <c r="U4" s="160"/>
      <c r="V4" s="160" t="s">
        <v>11</v>
      </c>
      <c r="W4" s="160"/>
      <c r="X4" s="160" t="s">
        <v>12</v>
      </c>
      <c r="Y4" s="160"/>
      <c r="Z4" s="160" t="s">
        <v>13</v>
      </c>
      <c r="AA4" s="160"/>
      <c r="AB4" s="160" t="s">
        <v>14</v>
      </c>
      <c r="AC4" s="160"/>
      <c r="AD4" s="160" t="s">
        <v>15</v>
      </c>
      <c r="AE4" s="160"/>
      <c r="AF4" s="160" t="s">
        <v>16</v>
      </c>
      <c r="AG4" s="160"/>
      <c r="AH4" s="160" t="s">
        <v>17</v>
      </c>
      <c r="AI4" s="160"/>
      <c r="AJ4" s="160" t="s">
        <v>149</v>
      </c>
      <c r="AK4" s="160"/>
      <c r="AL4" s="160" t="s">
        <v>19</v>
      </c>
      <c r="AM4" s="160"/>
      <c r="AN4" s="160" t="s">
        <v>20</v>
      </c>
      <c r="AO4" s="160"/>
      <c r="AP4" s="160" t="s">
        <v>21</v>
      </c>
      <c r="AQ4" s="160"/>
      <c r="AR4" s="160" t="s">
        <v>109</v>
      </c>
      <c r="AS4" s="160"/>
      <c r="AT4" s="160" t="s">
        <v>110</v>
      </c>
      <c r="AU4" s="160"/>
      <c r="AV4" s="160" t="s">
        <v>22</v>
      </c>
      <c r="AW4" s="160"/>
      <c r="AX4" s="160" t="s">
        <v>23</v>
      </c>
      <c r="AY4" s="160"/>
      <c r="AZ4" s="160" t="s">
        <v>24</v>
      </c>
      <c r="BA4" s="160"/>
      <c r="BB4" s="160" t="s">
        <v>25</v>
      </c>
      <c r="BC4" s="160"/>
      <c r="BD4" s="160" t="s">
        <v>26</v>
      </c>
      <c r="BE4" s="160"/>
      <c r="BF4" s="160" t="s">
        <v>27</v>
      </c>
      <c r="BG4" s="160"/>
      <c r="BH4" s="160" t="s">
        <v>28</v>
      </c>
      <c r="BI4" s="160"/>
      <c r="BJ4" s="160" t="s">
        <v>29</v>
      </c>
      <c r="BK4" s="160"/>
      <c r="BL4" s="160" t="s">
        <v>30</v>
      </c>
      <c r="BM4" s="160"/>
      <c r="BN4" s="165" t="s">
        <v>31</v>
      </c>
      <c r="BO4" s="165"/>
      <c r="BP4" s="160" t="s">
        <v>150</v>
      </c>
      <c r="BQ4" s="160"/>
    </row>
    <row r="5" spans="1:69" s="39" customFormat="1" ht="44.25" customHeight="1" x14ac:dyDescent="0.25">
      <c r="A5" s="40"/>
      <c r="B5" s="40" t="s">
        <v>161</v>
      </c>
      <c r="C5" s="40" t="s">
        <v>162</v>
      </c>
      <c r="D5" s="40" t="s">
        <v>161</v>
      </c>
      <c r="E5" s="40" t="s">
        <v>162</v>
      </c>
      <c r="F5" s="40" t="s">
        <v>161</v>
      </c>
      <c r="G5" s="40" t="s">
        <v>162</v>
      </c>
      <c r="H5" s="40" t="s">
        <v>161</v>
      </c>
      <c r="I5" s="40" t="s">
        <v>162</v>
      </c>
      <c r="J5" s="40" t="s">
        <v>161</v>
      </c>
      <c r="K5" s="40" t="s">
        <v>162</v>
      </c>
      <c r="L5" s="40" t="s">
        <v>161</v>
      </c>
      <c r="M5" s="40" t="s">
        <v>162</v>
      </c>
      <c r="N5" s="40" t="s">
        <v>161</v>
      </c>
      <c r="O5" s="40" t="s">
        <v>162</v>
      </c>
      <c r="P5" s="40" t="s">
        <v>161</v>
      </c>
      <c r="Q5" s="40" t="s">
        <v>162</v>
      </c>
      <c r="R5" s="40" t="s">
        <v>161</v>
      </c>
      <c r="S5" s="40" t="s">
        <v>162</v>
      </c>
      <c r="T5" s="40" t="s">
        <v>161</v>
      </c>
      <c r="U5" s="40" t="s">
        <v>162</v>
      </c>
      <c r="V5" s="40" t="s">
        <v>161</v>
      </c>
      <c r="W5" s="40" t="s">
        <v>162</v>
      </c>
      <c r="X5" s="40" t="s">
        <v>161</v>
      </c>
      <c r="Y5" s="40" t="s">
        <v>162</v>
      </c>
      <c r="Z5" s="40" t="s">
        <v>161</v>
      </c>
      <c r="AA5" s="40" t="s">
        <v>162</v>
      </c>
      <c r="AB5" s="40" t="s">
        <v>161</v>
      </c>
      <c r="AC5" s="40" t="s">
        <v>162</v>
      </c>
      <c r="AD5" s="40" t="s">
        <v>161</v>
      </c>
      <c r="AE5" s="40" t="s">
        <v>162</v>
      </c>
      <c r="AF5" s="40" t="s">
        <v>161</v>
      </c>
      <c r="AG5" s="40" t="s">
        <v>162</v>
      </c>
      <c r="AH5" s="40" t="s">
        <v>161</v>
      </c>
      <c r="AI5" s="40" t="s">
        <v>162</v>
      </c>
      <c r="AJ5" s="40" t="s">
        <v>161</v>
      </c>
      <c r="AK5" s="40" t="s">
        <v>162</v>
      </c>
      <c r="AL5" s="40" t="s">
        <v>161</v>
      </c>
      <c r="AM5" s="40" t="s">
        <v>162</v>
      </c>
      <c r="AN5" s="40" t="s">
        <v>161</v>
      </c>
      <c r="AO5" s="40" t="s">
        <v>162</v>
      </c>
      <c r="AP5" s="40" t="s">
        <v>161</v>
      </c>
      <c r="AQ5" s="40" t="s">
        <v>162</v>
      </c>
      <c r="AR5" s="40" t="s">
        <v>161</v>
      </c>
      <c r="AS5" s="40" t="s">
        <v>162</v>
      </c>
      <c r="AT5" s="40" t="s">
        <v>161</v>
      </c>
      <c r="AU5" s="40" t="s">
        <v>162</v>
      </c>
      <c r="AV5" s="40" t="s">
        <v>161</v>
      </c>
      <c r="AW5" s="40" t="s">
        <v>162</v>
      </c>
      <c r="AX5" s="40" t="s">
        <v>161</v>
      </c>
      <c r="AY5" s="40" t="s">
        <v>162</v>
      </c>
      <c r="AZ5" s="40" t="s">
        <v>161</v>
      </c>
      <c r="BA5" s="40" t="s">
        <v>162</v>
      </c>
      <c r="BB5" s="40" t="s">
        <v>161</v>
      </c>
      <c r="BC5" s="40" t="s">
        <v>162</v>
      </c>
      <c r="BD5" s="40" t="s">
        <v>161</v>
      </c>
      <c r="BE5" s="40" t="s">
        <v>162</v>
      </c>
      <c r="BF5" s="40" t="s">
        <v>161</v>
      </c>
      <c r="BG5" s="40" t="s">
        <v>162</v>
      </c>
      <c r="BH5" s="40" t="s">
        <v>161</v>
      </c>
      <c r="BI5" s="40" t="s">
        <v>162</v>
      </c>
      <c r="BJ5" s="40" t="s">
        <v>161</v>
      </c>
      <c r="BK5" s="40" t="s">
        <v>162</v>
      </c>
      <c r="BL5" s="40" t="s">
        <v>161</v>
      </c>
      <c r="BM5" s="40" t="s">
        <v>162</v>
      </c>
      <c r="BN5" s="40" t="s">
        <v>161</v>
      </c>
      <c r="BO5" s="40" t="s">
        <v>162</v>
      </c>
      <c r="BP5" s="40" t="s">
        <v>161</v>
      </c>
      <c r="BQ5" s="40" t="s">
        <v>162</v>
      </c>
    </row>
    <row r="6" spans="1:69" x14ac:dyDescent="0.25">
      <c r="A6" s="41" t="s">
        <v>67</v>
      </c>
      <c r="B6" s="41"/>
      <c r="C6" s="41"/>
      <c r="D6" s="41"/>
      <c r="E6" s="41"/>
      <c r="F6" s="41"/>
      <c r="G6" s="41"/>
      <c r="H6" s="41"/>
      <c r="I6" s="41"/>
      <c r="J6" s="68">
        <v>258628</v>
      </c>
      <c r="K6" s="68">
        <v>722113</v>
      </c>
      <c r="L6" s="41">
        <v>21084</v>
      </c>
      <c r="M6" s="41">
        <v>41812</v>
      </c>
      <c r="N6" s="41">
        <v>36985</v>
      </c>
      <c r="O6" s="41">
        <v>148998</v>
      </c>
      <c r="P6" s="41"/>
      <c r="Q6" s="41"/>
      <c r="R6" s="41">
        <v>72389</v>
      </c>
      <c r="S6" s="41">
        <v>98983</v>
      </c>
      <c r="T6" s="41"/>
      <c r="U6" s="41"/>
      <c r="V6" s="41"/>
      <c r="W6" s="41"/>
      <c r="X6" s="41">
        <v>48042</v>
      </c>
      <c r="Y6" s="41">
        <v>176025</v>
      </c>
      <c r="Z6" s="41"/>
      <c r="AA6" s="41"/>
      <c r="AB6" s="41">
        <v>157509</v>
      </c>
      <c r="AC6" s="41">
        <v>448277</v>
      </c>
      <c r="AD6" s="41">
        <v>83881</v>
      </c>
      <c r="AE6" s="41">
        <v>400769</v>
      </c>
      <c r="AF6" s="41">
        <v>72632</v>
      </c>
      <c r="AG6" s="41">
        <v>164534</v>
      </c>
      <c r="AH6" s="41">
        <v>3559</v>
      </c>
      <c r="AI6" s="41">
        <v>9118</v>
      </c>
      <c r="AJ6" s="41">
        <v>16455</v>
      </c>
      <c r="AK6" s="41">
        <v>36182</v>
      </c>
      <c r="AL6" s="41">
        <v>13858</v>
      </c>
      <c r="AM6" s="41">
        <v>29766</v>
      </c>
      <c r="AN6" s="41"/>
      <c r="AO6" s="41"/>
      <c r="AP6" s="41">
        <v>320238.32400000008</v>
      </c>
      <c r="AQ6" s="41">
        <v>792557.43500000006</v>
      </c>
      <c r="AR6" s="41">
        <v>815435</v>
      </c>
      <c r="AS6" s="41">
        <v>3341040</v>
      </c>
      <c r="AT6" s="41">
        <v>246072</v>
      </c>
      <c r="AU6" s="41">
        <v>957487</v>
      </c>
      <c r="AV6" s="41">
        <v>1095</v>
      </c>
      <c r="AW6" s="41">
        <v>2863</v>
      </c>
      <c r="AX6" s="41">
        <v>70016</v>
      </c>
      <c r="AY6" s="41">
        <v>271139</v>
      </c>
      <c r="AZ6" s="41"/>
      <c r="BA6" s="41"/>
      <c r="BB6" s="41">
        <v>43419</v>
      </c>
      <c r="BC6" s="41">
        <v>144488</v>
      </c>
      <c r="BD6" s="41">
        <v>319084</v>
      </c>
      <c r="BE6" s="41">
        <v>948803</v>
      </c>
      <c r="BF6" s="41">
        <v>8461</v>
      </c>
      <c r="BG6" s="41">
        <v>28648</v>
      </c>
      <c r="BH6" s="41"/>
      <c r="BI6" s="41"/>
      <c r="BJ6" s="41">
        <v>142291</v>
      </c>
      <c r="BK6" s="41">
        <v>504189</v>
      </c>
      <c r="BL6" s="41">
        <v>249986</v>
      </c>
      <c r="BM6" s="41">
        <v>1004718</v>
      </c>
      <c r="BN6" s="41">
        <v>39639</v>
      </c>
      <c r="BO6" s="41">
        <v>131367</v>
      </c>
      <c r="BP6" s="41">
        <f t="shared" ref="BP6:BQ9" si="0">B6+D6+F6+H6+J6+L6+N6+P6+R6+T6+V6+X6+Z6+AB6+AD6+AF6+AH6+AJ6+AL6+AN6+AP6+AR6+AT6+AV6+AX6+AZ6+BB6+BD6+BF6+BH6+BJ6+BL6+BN6</f>
        <v>3040758.324</v>
      </c>
      <c r="BQ6" s="41">
        <f t="shared" si="0"/>
        <v>10403876.435000001</v>
      </c>
    </row>
    <row r="7" spans="1:69" x14ac:dyDescent="0.25">
      <c r="A7" s="41" t="s">
        <v>68</v>
      </c>
      <c r="B7" s="41"/>
      <c r="C7" s="41"/>
      <c r="D7" s="41"/>
      <c r="E7" s="41"/>
      <c r="F7" s="41"/>
      <c r="G7" s="41"/>
      <c r="H7" s="41"/>
      <c r="I7" s="41"/>
      <c r="J7" s="70">
        <v>14592</v>
      </c>
      <c r="K7" s="70">
        <v>41209</v>
      </c>
      <c r="L7" s="41">
        <v>3456</v>
      </c>
      <c r="M7" s="41">
        <v>10058</v>
      </c>
      <c r="N7" s="41">
        <v>325</v>
      </c>
      <c r="O7" s="41">
        <v>1598</v>
      </c>
      <c r="P7" s="41"/>
      <c r="Q7" s="41"/>
      <c r="R7" s="41"/>
      <c r="S7" s="41"/>
      <c r="T7" s="41"/>
      <c r="U7" s="41"/>
      <c r="V7" s="41"/>
      <c r="W7" s="41"/>
      <c r="X7" s="41">
        <v>1998</v>
      </c>
      <c r="Y7" s="41">
        <v>13753</v>
      </c>
      <c r="Z7" s="41">
        <v>8553</v>
      </c>
      <c r="AA7" s="41">
        <v>10083</v>
      </c>
      <c r="AB7" s="41">
        <v>12300</v>
      </c>
      <c r="AC7" s="41">
        <v>51316</v>
      </c>
      <c r="AD7" s="41">
        <v>11732</v>
      </c>
      <c r="AE7" s="41">
        <v>71652</v>
      </c>
      <c r="AF7" s="41">
        <v>9226</v>
      </c>
      <c r="AG7" s="41">
        <v>39304</v>
      </c>
      <c r="AH7" s="41">
        <v>82</v>
      </c>
      <c r="AI7" s="41">
        <v>406</v>
      </c>
      <c r="AJ7" s="41">
        <v>173</v>
      </c>
      <c r="AK7" s="41">
        <v>3139</v>
      </c>
      <c r="AL7" s="41">
        <v>6747</v>
      </c>
      <c r="AM7" s="41">
        <v>19699</v>
      </c>
      <c r="AN7" s="41"/>
      <c r="AO7" s="41"/>
      <c r="AP7" s="41">
        <v>159900.79999999999</v>
      </c>
      <c r="AQ7" s="41">
        <v>328578.22399999999</v>
      </c>
      <c r="AR7" s="41">
        <v>643582</v>
      </c>
      <c r="AS7" s="41">
        <v>1706838</v>
      </c>
      <c r="AT7" s="41">
        <v>54631</v>
      </c>
      <c r="AU7" s="41">
        <v>309085</v>
      </c>
      <c r="AV7" s="41">
        <v>230</v>
      </c>
      <c r="AW7" s="41">
        <v>903</v>
      </c>
      <c r="AX7" s="41">
        <v>9273</v>
      </c>
      <c r="AY7" s="41">
        <v>11477</v>
      </c>
      <c r="AZ7" s="41"/>
      <c r="BA7" s="41"/>
      <c r="BB7" s="41">
        <v>3513</v>
      </c>
      <c r="BC7" s="41">
        <v>14275</v>
      </c>
      <c r="BD7" s="41">
        <v>2343</v>
      </c>
      <c r="BE7" s="41">
        <v>5454</v>
      </c>
      <c r="BF7" s="41">
        <v>1310</v>
      </c>
      <c r="BG7" s="41">
        <v>7913</v>
      </c>
      <c r="BH7" s="41"/>
      <c r="BI7" s="41"/>
      <c r="BJ7" s="41">
        <v>28724</v>
      </c>
      <c r="BK7" s="41">
        <v>97491</v>
      </c>
      <c r="BL7" s="41">
        <v>53215</v>
      </c>
      <c r="BM7" s="41">
        <v>315543</v>
      </c>
      <c r="BN7" s="41">
        <v>439</v>
      </c>
      <c r="BO7" s="41">
        <v>2802</v>
      </c>
      <c r="BP7" s="41">
        <f t="shared" si="0"/>
        <v>1026344.8</v>
      </c>
      <c r="BQ7" s="41">
        <f t="shared" si="0"/>
        <v>3062576.2239999999</v>
      </c>
    </row>
    <row r="8" spans="1:69" x14ac:dyDescent="0.25">
      <c r="A8" s="41" t="s">
        <v>69</v>
      </c>
      <c r="B8" s="41"/>
      <c r="C8" s="41"/>
      <c r="D8" s="41"/>
      <c r="E8" s="41"/>
      <c r="F8" s="41"/>
      <c r="G8" s="41"/>
      <c r="H8" s="41"/>
      <c r="I8" s="41"/>
      <c r="J8" s="68">
        <v>172765</v>
      </c>
      <c r="K8" s="68">
        <v>644427</v>
      </c>
      <c r="L8" s="41">
        <v>24483</v>
      </c>
      <c r="M8" s="41">
        <v>78018</v>
      </c>
      <c r="N8" s="41">
        <v>17947</v>
      </c>
      <c r="O8" s="41">
        <v>142970</v>
      </c>
      <c r="P8" s="41"/>
      <c r="Q8" s="41"/>
      <c r="R8" s="41">
        <v>3286</v>
      </c>
      <c r="S8" s="41">
        <v>4563</v>
      </c>
      <c r="T8" s="41"/>
      <c r="U8" s="41"/>
      <c r="V8" s="41"/>
      <c r="W8" s="41"/>
      <c r="X8" s="41">
        <v>86933</v>
      </c>
      <c r="Y8" s="41">
        <v>214773</v>
      </c>
      <c r="Z8" s="41">
        <v>18541</v>
      </c>
      <c r="AA8" s="41">
        <v>20610</v>
      </c>
      <c r="AB8" s="41">
        <v>-127738</v>
      </c>
      <c r="AC8" s="41">
        <v>-683026</v>
      </c>
      <c r="AD8" s="41">
        <v>148225</v>
      </c>
      <c r="AE8" s="41">
        <v>954485</v>
      </c>
      <c r="AF8" s="41">
        <v>33705</v>
      </c>
      <c r="AG8" s="41">
        <v>252441</v>
      </c>
      <c r="AH8" s="41">
        <v>4280</v>
      </c>
      <c r="AI8" s="41">
        <v>9608</v>
      </c>
      <c r="AJ8" s="41">
        <v>1907</v>
      </c>
      <c r="AK8" s="41">
        <v>30634</v>
      </c>
      <c r="AL8" s="41">
        <v>-40465</v>
      </c>
      <c r="AM8" s="41">
        <v>-94735</v>
      </c>
      <c r="AN8" s="41"/>
      <c r="AO8" s="41"/>
      <c r="AP8" s="41">
        <v>96212.833000000013</v>
      </c>
      <c r="AQ8" s="41">
        <v>209693.87100000001</v>
      </c>
      <c r="AR8" s="41">
        <v>894020</v>
      </c>
      <c r="AS8" s="41">
        <v>2160481</v>
      </c>
      <c r="AT8" s="41">
        <v>-27014</v>
      </c>
      <c r="AU8" s="41">
        <v>305867</v>
      </c>
      <c r="AV8" s="41">
        <v>2283</v>
      </c>
      <c r="AW8" s="41">
        <v>5318</v>
      </c>
      <c r="AX8" s="41">
        <v>47398</v>
      </c>
      <c r="AY8" s="41">
        <v>324286</v>
      </c>
      <c r="AZ8" s="41"/>
      <c r="BA8" s="41"/>
      <c r="BB8" s="41">
        <v>-43919</v>
      </c>
      <c r="BC8" s="41">
        <v>-161732</v>
      </c>
      <c r="BD8" s="41">
        <v>694042</v>
      </c>
      <c r="BE8" s="41">
        <v>3485763</v>
      </c>
      <c r="BF8" s="41">
        <v>24163</v>
      </c>
      <c r="BG8" s="41">
        <v>42333</v>
      </c>
      <c r="BH8" s="41"/>
      <c r="BI8" s="41"/>
      <c r="BJ8" s="41">
        <v>210931</v>
      </c>
      <c r="BK8" s="41">
        <v>1043361</v>
      </c>
      <c r="BL8" s="41">
        <v>117850</v>
      </c>
      <c r="BM8" s="41">
        <v>417382</v>
      </c>
      <c r="BN8" s="41">
        <v>17563</v>
      </c>
      <c r="BO8" s="41">
        <v>58371</v>
      </c>
      <c r="BP8" s="41">
        <f t="shared" si="0"/>
        <v>2377398.8330000001</v>
      </c>
      <c r="BQ8" s="41">
        <f t="shared" si="0"/>
        <v>9465891.8709999993</v>
      </c>
    </row>
    <row r="9" spans="1:69" x14ac:dyDescent="0.25">
      <c r="A9" s="41" t="s">
        <v>70</v>
      </c>
      <c r="B9" s="41"/>
      <c r="C9" s="41"/>
      <c r="D9" s="41"/>
      <c r="E9" s="41"/>
      <c r="F9" s="41"/>
      <c r="G9" s="41"/>
      <c r="H9" s="41"/>
      <c r="I9" s="41"/>
      <c r="J9" s="70">
        <v>100455</v>
      </c>
      <c r="K9" s="68">
        <v>118895</v>
      </c>
      <c r="L9" s="41">
        <v>57</v>
      </c>
      <c r="M9" s="41">
        <v>-26148</v>
      </c>
      <c r="N9" s="41">
        <v>19363</v>
      </c>
      <c r="O9" s="41">
        <v>7626</v>
      </c>
      <c r="P9" s="41"/>
      <c r="Q9" s="41"/>
      <c r="R9" s="41">
        <v>69103</v>
      </c>
      <c r="S9" s="41">
        <v>94420</v>
      </c>
      <c r="T9" s="41"/>
      <c r="U9" s="41"/>
      <c r="V9" s="41"/>
      <c r="W9" s="41"/>
      <c r="X9" s="41">
        <v>-36893</v>
      </c>
      <c r="Y9" s="41">
        <v>-24995</v>
      </c>
      <c r="Z9" s="41">
        <v>-9988</v>
      </c>
      <c r="AA9" s="41">
        <v>-10526</v>
      </c>
      <c r="AB9" s="41">
        <v>42070</v>
      </c>
      <c r="AC9" s="41">
        <v>-183433</v>
      </c>
      <c r="AD9" s="41">
        <v>-52612</v>
      </c>
      <c r="AE9" s="41">
        <v>-482064</v>
      </c>
      <c r="AF9" s="41">
        <v>48153</v>
      </c>
      <c r="AG9" s="41">
        <v>-48603</v>
      </c>
      <c r="AH9" s="41">
        <v>-639</v>
      </c>
      <c r="AI9" s="41">
        <v>-84</v>
      </c>
      <c r="AJ9" s="41">
        <v>14721</v>
      </c>
      <c r="AK9" s="41">
        <v>8687</v>
      </c>
      <c r="AL9" s="41">
        <v>-19860</v>
      </c>
      <c r="AM9" s="41">
        <v>-45270</v>
      </c>
      <c r="AN9" s="41"/>
      <c r="AO9" s="41"/>
      <c r="AP9" s="41">
        <v>383927.29100000008</v>
      </c>
      <c r="AQ9" s="41">
        <v>911441.78799999994</v>
      </c>
      <c r="AR9" s="41">
        <v>564997</v>
      </c>
      <c r="AS9" s="41">
        <v>2887397</v>
      </c>
      <c r="AT9" s="41">
        <v>327717</v>
      </c>
      <c r="AU9" s="41">
        <v>960705</v>
      </c>
      <c r="AV9" s="41">
        <v>-958</v>
      </c>
      <c r="AW9" s="41">
        <v>-1552</v>
      </c>
      <c r="AX9" s="41">
        <v>31891</v>
      </c>
      <c r="AY9" s="41">
        <v>-41670</v>
      </c>
      <c r="AZ9" s="41"/>
      <c r="BA9" s="41"/>
      <c r="BB9" s="41">
        <v>3013</v>
      </c>
      <c r="BC9" s="41">
        <v>-2969</v>
      </c>
      <c r="BD9" s="41">
        <v>-372615</v>
      </c>
      <c r="BE9" s="41">
        <v>-2531506</v>
      </c>
      <c r="BF9" s="41">
        <v>-14393</v>
      </c>
      <c r="BG9" s="41">
        <v>-5772</v>
      </c>
      <c r="BH9" s="41"/>
      <c r="BI9" s="41"/>
      <c r="BJ9" s="41">
        <v>-39916</v>
      </c>
      <c r="BK9" s="41">
        <v>-441681</v>
      </c>
      <c r="BL9" s="41">
        <v>185351</v>
      </c>
      <c r="BM9" s="41">
        <v>902879</v>
      </c>
      <c r="BN9" s="41">
        <v>22515</v>
      </c>
      <c r="BO9" s="41">
        <v>75798</v>
      </c>
      <c r="BP9" s="41">
        <f t="shared" si="0"/>
        <v>1265459.2910000002</v>
      </c>
      <c r="BQ9" s="41">
        <f t="shared" si="0"/>
        <v>2121575.7879999997</v>
      </c>
    </row>
    <row r="11" spans="1:69" x14ac:dyDescent="0.25">
      <c r="A11" s="10" t="s">
        <v>128</v>
      </c>
    </row>
    <row r="12" spans="1:69" s="12" customFormat="1" x14ac:dyDescent="0.25">
      <c r="A12" s="20" t="s">
        <v>0</v>
      </c>
      <c r="B12" s="160" t="s">
        <v>1</v>
      </c>
      <c r="C12" s="160"/>
      <c r="D12" s="160" t="s">
        <v>2</v>
      </c>
      <c r="E12" s="160"/>
      <c r="F12" s="160" t="s">
        <v>3</v>
      </c>
      <c r="G12" s="160"/>
      <c r="H12" s="160" t="s">
        <v>4</v>
      </c>
      <c r="I12" s="160"/>
      <c r="J12" s="160" t="s">
        <v>5</v>
      </c>
      <c r="K12" s="160"/>
      <c r="L12" s="160" t="s">
        <v>6</v>
      </c>
      <c r="M12" s="160"/>
      <c r="N12" s="160" t="s">
        <v>7</v>
      </c>
      <c r="O12" s="160"/>
      <c r="P12" s="160" t="s">
        <v>8</v>
      </c>
      <c r="Q12" s="160"/>
      <c r="R12" s="160" t="s">
        <v>9</v>
      </c>
      <c r="S12" s="160"/>
      <c r="T12" s="160" t="s">
        <v>10</v>
      </c>
      <c r="U12" s="160"/>
      <c r="V12" s="160" t="s">
        <v>11</v>
      </c>
      <c r="W12" s="160"/>
      <c r="X12" s="160" t="s">
        <v>12</v>
      </c>
      <c r="Y12" s="160"/>
      <c r="Z12" s="160" t="s">
        <v>13</v>
      </c>
      <c r="AA12" s="160"/>
      <c r="AB12" s="160" t="s">
        <v>14</v>
      </c>
      <c r="AC12" s="160"/>
      <c r="AD12" s="160" t="s">
        <v>15</v>
      </c>
      <c r="AE12" s="160"/>
      <c r="AF12" s="160" t="s">
        <v>16</v>
      </c>
      <c r="AG12" s="160"/>
      <c r="AH12" s="160" t="s">
        <v>17</v>
      </c>
      <c r="AI12" s="160"/>
      <c r="AJ12" s="160" t="s">
        <v>18</v>
      </c>
      <c r="AK12" s="160"/>
      <c r="AL12" s="160" t="s">
        <v>19</v>
      </c>
      <c r="AM12" s="160"/>
      <c r="AN12" s="160" t="s">
        <v>20</v>
      </c>
      <c r="AO12" s="160"/>
      <c r="AP12" s="160" t="s">
        <v>21</v>
      </c>
      <c r="AQ12" s="160"/>
      <c r="AR12" s="160" t="s">
        <v>109</v>
      </c>
      <c r="AS12" s="160"/>
      <c r="AT12" s="160" t="s">
        <v>110</v>
      </c>
      <c r="AU12" s="160"/>
      <c r="AV12" s="160" t="s">
        <v>22</v>
      </c>
      <c r="AW12" s="160"/>
      <c r="AX12" s="160" t="s">
        <v>23</v>
      </c>
      <c r="AY12" s="160"/>
      <c r="AZ12" s="160" t="s">
        <v>24</v>
      </c>
      <c r="BA12" s="160"/>
      <c r="BB12" s="160" t="s">
        <v>25</v>
      </c>
      <c r="BC12" s="160"/>
      <c r="BD12" s="160" t="s">
        <v>26</v>
      </c>
      <c r="BE12" s="160"/>
      <c r="BF12" s="160" t="s">
        <v>27</v>
      </c>
      <c r="BG12" s="160"/>
      <c r="BH12" s="160" t="s">
        <v>28</v>
      </c>
      <c r="BI12" s="160"/>
      <c r="BJ12" s="160" t="s">
        <v>29</v>
      </c>
      <c r="BK12" s="160"/>
      <c r="BL12" s="160" t="s">
        <v>30</v>
      </c>
      <c r="BM12" s="160"/>
      <c r="BN12" s="160" t="s">
        <v>31</v>
      </c>
      <c r="BO12" s="160"/>
      <c r="BP12" s="160" t="s">
        <v>150</v>
      </c>
      <c r="BQ12" s="160"/>
    </row>
    <row r="13" spans="1:69" s="39" customFormat="1" ht="44.25" customHeight="1" x14ac:dyDescent="0.25">
      <c r="A13" s="40"/>
      <c r="B13" s="40" t="s">
        <v>161</v>
      </c>
      <c r="C13" s="40" t="s">
        <v>162</v>
      </c>
      <c r="D13" s="40" t="s">
        <v>161</v>
      </c>
      <c r="E13" s="40" t="s">
        <v>162</v>
      </c>
      <c r="F13" s="40" t="s">
        <v>161</v>
      </c>
      <c r="G13" s="40" t="s">
        <v>162</v>
      </c>
      <c r="H13" s="40" t="s">
        <v>161</v>
      </c>
      <c r="I13" s="40" t="s">
        <v>162</v>
      </c>
      <c r="J13" s="40" t="s">
        <v>161</v>
      </c>
      <c r="K13" s="40" t="s">
        <v>162</v>
      </c>
      <c r="L13" s="40" t="s">
        <v>161</v>
      </c>
      <c r="M13" s="40" t="s">
        <v>162</v>
      </c>
      <c r="N13" s="40" t="s">
        <v>161</v>
      </c>
      <c r="O13" s="40" t="s">
        <v>162</v>
      </c>
      <c r="P13" s="40" t="s">
        <v>161</v>
      </c>
      <c r="Q13" s="40" t="s">
        <v>162</v>
      </c>
      <c r="R13" s="40" t="s">
        <v>161</v>
      </c>
      <c r="S13" s="40" t="s">
        <v>162</v>
      </c>
      <c r="T13" s="40" t="s">
        <v>161</v>
      </c>
      <c r="U13" s="40" t="s">
        <v>162</v>
      </c>
      <c r="V13" s="40" t="s">
        <v>161</v>
      </c>
      <c r="W13" s="40" t="s">
        <v>162</v>
      </c>
      <c r="X13" s="40" t="s">
        <v>161</v>
      </c>
      <c r="Y13" s="40" t="s">
        <v>162</v>
      </c>
      <c r="Z13" s="40" t="s">
        <v>161</v>
      </c>
      <c r="AA13" s="40" t="s">
        <v>162</v>
      </c>
      <c r="AB13" s="40" t="s">
        <v>161</v>
      </c>
      <c r="AC13" s="40" t="s">
        <v>162</v>
      </c>
      <c r="AD13" s="40" t="s">
        <v>161</v>
      </c>
      <c r="AE13" s="40" t="s">
        <v>162</v>
      </c>
      <c r="AF13" s="40" t="s">
        <v>161</v>
      </c>
      <c r="AG13" s="40" t="s">
        <v>162</v>
      </c>
      <c r="AH13" s="40" t="s">
        <v>161</v>
      </c>
      <c r="AI13" s="40" t="s">
        <v>162</v>
      </c>
      <c r="AJ13" s="40" t="s">
        <v>161</v>
      </c>
      <c r="AK13" s="40" t="s">
        <v>162</v>
      </c>
      <c r="AL13" s="40" t="s">
        <v>161</v>
      </c>
      <c r="AM13" s="40" t="s">
        <v>162</v>
      </c>
      <c r="AN13" s="40" t="s">
        <v>161</v>
      </c>
      <c r="AO13" s="40" t="s">
        <v>162</v>
      </c>
      <c r="AP13" s="40" t="s">
        <v>161</v>
      </c>
      <c r="AQ13" s="40" t="s">
        <v>162</v>
      </c>
      <c r="AR13" s="40" t="s">
        <v>161</v>
      </c>
      <c r="AS13" s="40" t="s">
        <v>162</v>
      </c>
      <c r="AT13" s="40" t="s">
        <v>161</v>
      </c>
      <c r="AU13" s="40" t="s">
        <v>162</v>
      </c>
      <c r="AV13" s="40" t="s">
        <v>161</v>
      </c>
      <c r="AW13" s="40" t="s">
        <v>162</v>
      </c>
      <c r="AX13" s="40" t="s">
        <v>161</v>
      </c>
      <c r="AY13" s="40" t="s">
        <v>162</v>
      </c>
      <c r="AZ13" s="40" t="s">
        <v>161</v>
      </c>
      <c r="BA13" s="40" t="s">
        <v>162</v>
      </c>
      <c r="BB13" s="40" t="s">
        <v>161</v>
      </c>
      <c r="BC13" s="40" t="s">
        <v>162</v>
      </c>
      <c r="BD13" s="40" t="s">
        <v>161</v>
      </c>
      <c r="BE13" s="40" t="s">
        <v>162</v>
      </c>
      <c r="BF13" s="40" t="s">
        <v>161</v>
      </c>
      <c r="BG13" s="40" t="s">
        <v>162</v>
      </c>
      <c r="BH13" s="40" t="s">
        <v>161</v>
      </c>
      <c r="BI13" s="40" t="s">
        <v>162</v>
      </c>
      <c r="BJ13" s="40" t="s">
        <v>161</v>
      </c>
      <c r="BK13" s="40" t="s">
        <v>162</v>
      </c>
      <c r="BL13" s="40" t="s">
        <v>161</v>
      </c>
      <c r="BM13" s="40" t="s">
        <v>162</v>
      </c>
      <c r="BN13" s="40" t="s">
        <v>161</v>
      </c>
      <c r="BO13" s="40" t="s">
        <v>162</v>
      </c>
      <c r="BP13" s="40" t="s">
        <v>161</v>
      </c>
      <c r="BQ13" s="40" t="s">
        <v>162</v>
      </c>
    </row>
    <row r="14" spans="1:69" x14ac:dyDescent="0.25">
      <c r="A14" s="41" t="s">
        <v>67</v>
      </c>
      <c r="B14" s="41"/>
      <c r="C14" s="41"/>
      <c r="D14" s="41"/>
      <c r="E14" s="41"/>
      <c r="F14" s="41"/>
      <c r="G14" s="41"/>
      <c r="H14" s="41"/>
      <c r="I14" s="41"/>
      <c r="J14" s="70">
        <v>70762</v>
      </c>
      <c r="K14" s="68">
        <v>164608</v>
      </c>
      <c r="L14" s="41">
        <v>13642</v>
      </c>
      <c r="M14" s="41">
        <v>28485</v>
      </c>
      <c r="N14" s="41">
        <v>6211</v>
      </c>
      <c r="O14" s="41">
        <v>29672</v>
      </c>
      <c r="P14" s="41"/>
      <c r="Q14" s="41"/>
      <c r="R14" s="41"/>
      <c r="S14" s="41"/>
      <c r="T14" s="41"/>
      <c r="U14" s="41"/>
      <c r="V14" s="41"/>
      <c r="W14" s="41"/>
      <c r="X14" s="41">
        <v>15928</v>
      </c>
      <c r="Y14" s="41">
        <v>77121</v>
      </c>
      <c r="Z14" s="41"/>
      <c r="AA14" s="41"/>
      <c r="AB14" s="41">
        <f>31743+321</f>
        <v>32064</v>
      </c>
      <c r="AC14" s="41">
        <f>101031+2985</f>
        <v>104016</v>
      </c>
      <c r="AD14" s="41">
        <v>68990</v>
      </c>
      <c r="AE14" s="41">
        <v>291881</v>
      </c>
      <c r="AF14" s="41">
        <v>35829</v>
      </c>
      <c r="AG14" s="41">
        <v>97850</v>
      </c>
      <c r="AH14" s="41"/>
      <c r="AI14" s="41"/>
      <c r="AJ14" s="41">
        <v>9709</v>
      </c>
      <c r="AK14" s="41">
        <v>29754</v>
      </c>
      <c r="AL14" s="41">
        <v>3535</v>
      </c>
      <c r="AM14" s="41">
        <v>8572</v>
      </c>
      <c r="AN14" s="41"/>
      <c r="AO14" s="41"/>
      <c r="AP14" s="41">
        <v>107406.70599999999</v>
      </c>
      <c r="AQ14" s="41">
        <v>254021.761</v>
      </c>
      <c r="AR14" s="41">
        <v>167759</v>
      </c>
      <c r="AS14" s="41">
        <v>646422</v>
      </c>
      <c r="AT14" s="41">
        <v>78626</v>
      </c>
      <c r="AU14" s="41">
        <v>290525</v>
      </c>
      <c r="AV14" s="41">
        <v>41</v>
      </c>
      <c r="AW14" s="41">
        <v>41.25</v>
      </c>
      <c r="AX14" s="41">
        <v>17238</v>
      </c>
      <c r="AY14" s="41">
        <v>69597</v>
      </c>
      <c r="AZ14" s="41"/>
      <c r="BA14" s="41"/>
      <c r="BB14" s="41">
        <v>8430</v>
      </c>
      <c r="BC14" s="41">
        <v>43078</v>
      </c>
      <c r="BD14" s="41">
        <v>6213</v>
      </c>
      <c r="BE14" s="41">
        <v>21574</v>
      </c>
      <c r="BF14" s="41">
        <v>815</v>
      </c>
      <c r="BG14" s="41">
        <v>2463</v>
      </c>
      <c r="BH14" s="41"/>
      <c r="BI14" s="41"/>
      <c r="BJ14" s="41">
        <v>131775</v>
      </c>
      <c r="BK14" s="41">
        <v>456017</v>
      </c>
      <c r="BL14" s="41">
        <v>66542</v>
      </c>
      <c r="BM14" s="41">
        <v>281400</v>
      </c>
      <c r="BN14" s="41">
        <v>1139</v>
      </c>
      <c r="BO14" s="41">
        <v>11620</v>
      </c>
      <c r="BP14" s="41">
        <f t="shared" ref="BP14:BQ17" si="1">B14+D14+F14+H14+J14+L14+N14+P14+R14+T14+V14+X14+Z14+AB14+AD14+AF14+AH14+AJ14+AL14+AN14+AP14+AR14+AT14+AV14+AX14+AZ14+BB14+BD14+BF14+BH14+BJ14+BL14+BN14</f>
        <v>842654.70600000001</v>
      </c>
      <c r="BQ14" s="41">
        <f t="shared" si="1"/>
        <v>2908718.0109999999</v>
      </c>
    </row>
    <row r="15" spans="1:69" x14ac:dyDescent="0.25">
      <c r="A15" s="41" t="s">
        <v>68</v>
      </c>
      <c r="B15" s="41"/>
      <c r="C15" s="41"/>
      <c r="D15" s="41"/>
      <c r="E15" s="41"/>
      <c r="F15" s="41"/>
      <c r="G15" s="41"/>
      <c r="H15" s="41"/>
      <c r="I15" s="41"/>
      <c r="J15" s="68">
        <v>0</v>
      </c>
      <c r="K15" s="68">
        <v>0</v>
      </c>
      <c r="L15" s="41">
        <v>854</v>
      </c>
      <c r="M15" s="41">
        <v>1851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>
        <v>5</v>
      </c>
      <c r="Y15" s="41">
        <v>544</v>
      </c>
      <c r="Z15" s="41"/>
      <c r="AA15" s="41"/>
      <c r="AB15" s="41">
        <v>808</v>
      </c>
      <c r="AC15" s="41">
        <f>7360</f>
        <v>7360</v>
      </c>
      <c r="AD15" s="41">
        <v>2951</v>
      </c>
      <c r="AE15" s="41">
        <v>26053</v>
      </c>
      <c r="AF15" s="41">
        <v>85</v>
      </c>
      <c r="AG15" s="41">
        <v>775</v>
      </c>
      <c r="AH15" s="41"/>
      <c r="AI15" s="41"/>
      <c r="AJ15" s="41"/>
      <c r="AK15" s="41"/>
      <c r="AL15" s="41">
        <v>457</v>
      </c>
      <c r="AM15" s="41">
        <v>1680</v>
      </c>
      <c r="AN15" s="41"/>
      <c r="AO15" s="41"/>
      <c r="AP15" s="41">
        <v>4227.4230000000007</v>
      </c>
      <c r="AQ15" s="41">
        <v>11323.827000000001</v>
      </c>
      <c r="AR15" s="41">
        <v>41057</v>
      </c>
      <c r="AS15" s="41">
        <v>91503</v>
      </c>
      <c r="AT15" s="41">
        <v>1767</v>
      </c>
      <c r="AU15" s="41">
        <v>10950</v>
      </c>
      <c r="AV15" s="41"/>
      <c r="AW15" s="41"/>
      <c r="AX15" s="41"/>
      <c r="AY15" s="41">
        <v>516</v>
      </c>
      <c r="AZ15" s="41"/>
      <c r="BA15" s="41"/>
      <c r="BB15" s="41">
        <v>0</v>
      </c>
      <c r="BC15" s="41">
        <v>12</v>
      </c>
      <c r="BD15" s="41"/>
      <c r="BE15" s="41"/>
      <c r="BF15" s="41"/>
      <c r="BG15" s="41"/>
      <c r="BH15" s="41"/>
      <c r="BI15" s="41"/>
      <c r="BJ15" s="41">
        <v>-87</v>
      </c>
      <c r="BK15" s="41">
        <v>9298</v>
      </c>
      <c r="BL15" s="41">
        <v>1243</v>
      </c>
      <c r="BM15" s="41">
        <v>17780</v>
      </c>
      <c r="BN15" s="41"/>
      <c r="BO15" s="41"/>
      <c r="BP15" s="41">
        <f t="shared" si="1"/>
        <v>53367.423000000003</v>
      </c>
      <c r="BQ15" s="41">
        <f t="shared" si="1"/>
        <v>179645.82699999999</v>
      </c>
    </row>
    <row r="16" spans="1:69" x14ac:dyDescent="0.25">
      <c r="A16" s="41" t="s">
        <v>69</v>
      </c>
      <c r="B16" s="41"/>
      <c r="C16" s="41"/>
      <c r="D16" s="41"/>
      <c r="E16" s="41"/>
      <c r="F16" s="41"/>
      <c r="G16" s="41"/>
      <c r="H16" s="41"/>
      <c r="I16" s="41"/>
      <c r="J16" s="70">
        <v>10992</v>
      </c>
      <c r="K16" s="70">
        <v>29591</v>
      </c>
      <c r="L16" s="41">
        <v>7611</v>
      </c>
      <c r="M16" s="41">
        <v>18066</v>
      </c>
      <c r="N16" s="41">
        <v>21295</v>
      </c>
      <c r="O16" s="41">
        <v>75879</v>
      </c>
      <c r="P16" s="41"/>
      <c r="Q16" s="41"/>
      <c r="R16" s="41"/>
      <c r="S16" s="41"/>
      <c r="T16" s="41"/>
      <c r="U16" s="41"/>
      <c r="V16" s="41"/>
      <c r="W16" s="41"/>
      <c r="X16" s="41">
        <v>3619</v>
      </c>
      <c r="Y16" s="41">
        <v>14845</v>
      </c>
      <c r="Z16" s="41">
        <v>56</v>
      </c>
      <c r="AA16" s="41">
        <v>56</v>
      </c>
      <c r="AB16" s="41">
        <f>-13722+-429</f>
        <v>-14151</v>
      </c>
      <c r="AC16" s="41">
        <f>-68858+-9321</f>
        <v>-78179</v>
      </c>
      <c r="AD16" s="41">
        <v>20207</v>
      </c>
      <c r="AE16" s="41">
        <v>70251</v>
      </c>
      <c r="AF16" s="41">
        <v>26987</v>
      </c>
      <c r="AG16" s="41">
        <v>114690</v>
      </c>
      <c r="AH16" s="41"/>
      <c r="AI16" s="41"/>
      <c r="AJ16" s="41">
        <v>3100</v>
      </c>
      <c r="AK16" s="41">
        <v>14991</v>
      </c>
      <c r="AL16" s="41">
        <v>-10538</v>
      </c>
      <c r="AM16" s="41">
        <v>-21237</v>
      </c>
      <c r="AN16" s="41"/>
      <c r="AO16" s="41"/>
      <c r="AP16" s="41">
        <v>29495.809999999994</v>
      </c>
      <c r="AQ16" s="41">
        <v>77619.625999999989</v>
      </c>
      <c r="AR16" s="41">
        <v>28329</v>
      </c>
      <c r="AS16" s="41">
        <v>171742</v>
      </c>
      <c r="AT16" s="41">
        <v>24573</v>
      </c>
      <c r="AU16" s="41">
        <v>86333</v>
      </c>
      <c r="AV16" s="41">
        <v>2</v>
      </c>
      <c r="AW16" s="41">
        <v>4.0599999999999996</v>
      </c>
      <c r="AX16" s="41">
        <v>16880</v>
      </c>
      <c r="AY16" s="41">
        <v>110702</v>
      </c>
      <c r="AZ16" s="41"/>
      <c r="BA16" s="41"/>
      <c r="BB16" s="41">
        <v>-5208</v>
      </c>
      <c r="BC16" s="41">
        <v>-32626</v>
      </c>
      <c r="BD16" s="41">
        <v>1663</v>
      </c>
      <c r="BE16" s="41">
        <v>2448</v>
      </c>
      <c r="BF16" s="41">
        <v>338</v>
      </c>
      <c r="BG16" s="41">
        <v>950</v>
      </c>
      <c r="BH16" s="41"/>
      <c r="BI16" s="41"/>
      <c r="BJ16" s="41">
        <v>14149</v>
      </c>
      <c r="BK16" s="41">
        <v>53296</v>
      </c>
      <c r="BL16" s="41">
        <v>12987</v>
      </c>
      <c r="BM16" s="41">
        <v>64678</v>
      </c>
      <c r="BN16" s="41">
        <f>2176+458</f>
        <v>2634</v>
      </c>
      <c r="BO16" s="41">
        <f>18740+3395</f>
        <v>22135</v>
      </c>
      <c r="BP16" s="41">
        <f t="shared" si="1"/>
        <v>195020.81</v>
      </c>
      <c r="BQ16" s="41">
        <f t="shared" si="1"/>
        <v>796234.68599999999</v>
      </c>
    </row>
    <row r="17" spans="1:69" x14ac:dyDescent="0.25">
      <c r="A17" s="41" t="s">
        <v>70</v>
      </c>
      <c r="B17" s="41"/>
      <c r="C17" s="41"/>
      <c r="D17" s="41"/>
      <c r="E17" s="41"/>
      <c r="F17" s="41"/>
      <c r="G17" s="41"/>
      <c r="H17" s="41"/>
      <c r="I17" s="41"/>
      <c r="J17" s="70">
        <v>59770</v>
      </c>
      <c r="K17" s="68">
        <v>135017</v>
      </c>
      <c r="L17" s="41">
        <v>6884</v>
      </c>
      <c r="M17" s="41">
        <v>12270</v>
      </c>
      <c r="N17" s="41">
        <v>-15084</v>
      </c>
      <c r="O17" s="41">
        <v>-46207</v>
      </c>
      <c r="P17" s="41"/>
      <c r="Q17" s="41"/>
      <c r="R17" s="41"/>
      <c r="S17" s="41"/>
      <c r="T17" s="41"/>
      <c r="U17" s="41"/>
      <c r="V17" s="41"/>
      <c r="W17" s="41"/>
      <c r="X17" s="41">
        <v>12314</v>
      </c>
      <c r="Y17" s="41">
        <v>62820</v>
      </c>
      <c r="Z17" s="41">
        <v>-56</v>
      </c>
      <c r="AA17" s="41">
        <v>-56</v>
      </c>
      <c r="AB17" s="41">
        <f>18829+-107</f>
        <v>18722</v>
      </c>
      <c r="AC17" s="41">
        <f>39533+-6336</f>
        <v>33197</v>
      </c>
      <c r="AD17" s="41">
        <v>51734</v>
      </c>
      <c r="AE17" s="41">
        <v>247683</v>
      </c>
      <c r="AF17" s="41">
        <v>8927</v>
      </c>
      <c r="AG17" s="41">
        <v>-16065</v>
      </c>
      <c r="AH17" s="41"/>
      <c r="AI17" s="41"/>
      <c r="AJ17" s="41">
        <v>6609</v>
      </c>
      <c r="AK17" s="41">
        <v>14763</v>
      </c>
      <c r="AL17" s="41">
        <v>-6546</v>
      </c>
      <c r="AM17" s="41">
        <v>-10985</v>
      </c>
      <c r="AN17" s="41"/>
      <c r="AO17" s="41"/>
      <c r="AP17" s="41">
        <v>82138.318999999989</v>
      </c>
      <c r="AQ17" s="41">
        <v>187726.962</v>
      </c>
      <c r="AR17" s="41">
        <v>180487</v>
      </c>
      <c r="AS17" s="41">
        <v>566183</v>
      </c>
      <c r="AT17" s="41">
        <v>55820</v>
      </c>
      <c r="AU17" s="41">
        <v>215142</v>
      </c>
      <c r="AV17" s="41">
        <v>39</v>
      </c>
      <c r="AW17" s="41">
        <v>37</v>
      </c>
      <c r="AX17" s="41">
        <v>358</v>
      </c>
      <c r="AY17" s="41">
        <v>-40589</v>
      </c>
      <c r="AZ17" s="41"/>
      <c r="BA17" s="41"/>
      <c r="BB17" s="41">
        <v>3222</v>
      </c>
      <c r="BC17" s="41">
        <v>10464</v>
      </c>
      <c r="BD17" s="41">
        <v>4550</v>
      </c>
      <c r="BE17" s="41">
        <v>19126</v>
      </c>
      <c r="BF17" s="41">
        <v>477</v>
      </c>
      <c r="BG17" s="41">
        <v>1513</v>
      </c>
      <c r="BH17" s="41"/>
      <c r="BI17" s="41"/>
      <c r="BJ17" s="41">
        <v>117539</v>
      </c>
      <c r="BK17" s="41">
        <v>412019</v>
      </c>
      <c r="BL17" s="41">
        <v>54798</v>
      </c>
      <c r="BM17" s="41">
        <v>234502</v>
      </c>
      <c r="BN17" s="41">
        <f>-1037+-458</f>
        <v>-1495</v>
      </c>
      <c r="BO17" s="41">
        <f>-7120+-3395</f>
        <v>-10515</v>
      </c>
      <c r="BP17" s="41">
        <f t="shared" si="1"/>
        <v>641207.31900000002</v>
      </c>
      <c r="BQ17" s="41">
        <f t="shared" si="1"/>
        <v>2028045.9620000001</v>
      </c>
    </row>
    <row r="19" spans="1:69" x14ac:dyDescent="0.25">
      <c r="A19" s="10" t="s">
        <v>129</v>
      </c>
    </row>
    <row r="20" spans="1:69" s="12" customFormat="1" x14ac:dyDescent="0.25">
      <c r="A20" s="20" t="s">
        <v>0</v>
      </c>
      <c r="B20" s="160" t="s">
        <v>1</v>
      </c>
      <c r="C20" s="160"/>
      <c r="D20" s="160" t="s">
        <v>2</v>
      </c>
      <c r="E20" s="160"/>
      <c r="F20" s="160" t="s">
        <v>3</v>
      </c>
      <c r="G20" s="160"/>
      <c r="H20" s="160" t="s">
        <v>4</v>
      </c>
      <c r="I20" s="160"/>
      <c r="J20" s="160" t="s">
        <v>5</v>
      </c>
      <c r="K20" s="160"/>
      <c r="L20" s="160" t="s">
        <v>6</v>
      </c>
      <c r="M20" s="160"/>
      <c r="N20" s="160" t="s">
        <v>7</v>
      </c>
      <c r="O20" s="160"/>
      <c r="P20" s="160" t="s">
        <v>8</v>
      </c>
      <c r="Q20" s="160"/>
      <c r="R20" s="160" t="s">
        <v>9</v>
      </c>
      <c r="S20" s="160"/>
      <c r="T20" s="160" t="s">
        <v>10</v>
      </c>
      <c r="U20" s="160"/>
      <c r="V20" s="160" t="s">
        <v>11</v>
      </c>
      <c r="W20" s="160"/>
      <c r="X20" s="160" t="s">
        <v>12</v>
      </c>
      <c r="Y20" s="160"/>
      <c r="Z20" s="160" t="s">
        <v>13</v>
      </c>
      <c r="AA20" s="160"/>
      <c r="AB20" s="160" t="s">
        <v>14</v>
      </c>
      <c r="AC20" s="160"/>
      <c r="AD20" s="160" t="s">
        <v>15</v>
      </c>
      <c r="AE20" s="160"/>
      <c r="AF20" s="160" t="s">
        <v>16</v>
      </c>
      <c r="AG20" s="160"/>
      <c r="AH20" s="160" t="s">
        <v>17</v>
      </c>
      <c r="AI20" s="160"/>
      <c r="AJ20" s="160" t="s">
        <v>18</v>
      </c>
      <c r="AK20" s="160"/>
      <c r="AL20" s="160" t="s">
        <v>19</v>
      </c>
      <c r="AM20" s="160"/>
      <c r="AN20" s="160" t="s">
        <v>20</v>
      </c>
      <c r="AO20" s="160"/>
      <c r="AP20" s="160" t="s">
        <v>21</v>
      </c>
      <c r="AQ20" s="160"/>
      <c r="AR20" s="160" t="s">
        <v>109</v>
      </c>
      <c r="AS20" s="160"/>
      <c r="AT20" s="160" t="s">
        <v>110</v>
      </c>
      <c r="AU20" s="160"/>
      <c r="AV20" s="160" t="s">
        <v>22</v>
      </c>
      <c r="AW20" s="160"/>
      <c r="AX20" s="160" t="s">
        <v>23</v>
      </c>
      <c r="AY20" s="160"/>
      <c r="AZ20" s="160" t="s">
        <v>24</v>
      </c>
      <c r="BA20" s="160"/>
      <c r="BB20" s="160" t="s">
        <v>25</v>
      </c>
      <c r="BC20" s="160"/>
      <c r="BD20" s="160" t="s">
        <v>26</v>
      </c>
      <c r="BE20" s="160"/>
      <c r="BF20" s="160" t="s">
        <v>27</v>
      </c>
      <c r="BG20" s="160"/>
      <c r="BH20" s="160" t="s">
        <v>28</v>
      </c>
      <c r="BI20" s="160"/>
      <c r="BJ20" s="160" t="s">
        <v>29</v>
      </c>
      <c r="BK20" s="160"/>
      <c r="BL20" s="160" t="s">
        <v>30</v>
      </c>
      <c r="BM20" s="160"/>
      <c r="BN20" s="160" t="s">
        <v>31</v>
      </c>
      <c r="BO20" s="160"/>
      <c r="BP20" s="160" t="s">
        <v>150</v>
      </c>
      <c r="BQ20" s="160"/>
    </row>
    <row r="21" spans="1:69" s="39" customFormat="1" ht="44.25" customHeight="1" x14ac:dyDescent="0.25">
      <c r="A21" s="40"/>
      <c r="B21" s="40" t="s">
        <v>161</v>
      </c>
      <c r="C21" s="40" t="s">
        <v>162</v>
      </c>
      <c r="D21" s="40" t="s">
        <v>161</v>
      </c>
      <c r="E21" s="40" t="s">
        <v>162</v>
      </c>
      <c r="F21" s="40" t="s">
        <v>161</v>
      </c>
      <c r="G21" s="40" t="s">
        <v>162</v>
      </c>
      <c r="H21" s="40" t="s">
        <v>161</v>
      </c>
      <c r="I21" s="40" t="s">
        <v>162</v>
      </c>
      <c r="J21" s="40" t="s">
        <v>161</v>
      </c>
      <c r="K21" s="40" t="s">
        <v>162</v>
      </c>
      <c r="L21" s="40" t="s">
        <v>161</v>
      </c>
      <c r="M21" s="40" t="s">
        <v>162</v>
      </c>
      <c r="N21" s="40" t="s">
        <v>161</v>
      </c>
      <c r="O21" s="40" t="s">
        <v>162</v>
      </c>
      <c r="P21" s="40" t="s">
        <v>161</v>
      </c>
      <c r="Q21" s="40" t="s">
        <v>162</v>
      </c>
      <c r="R21" s="40" t="s">
        <v>161</v>
      </c>
      <c r="S21" s="40" t="s">
        <v>162</v>
      </c>
      <c r="T21" s="40" t="s">
        <v>161</v>
      </c>
      <c r="U21" s="40" t="s">
        <v>162</v>
      </c>
      <c r="V21" s="40" t="s">
        <v>161</v>
      </c>
      <c r="W21" s="40" t="s">
        <v>162</v>
      </c>
      <c r="X21" s="40" t="s">
        <v>161</v>
      </c>
      <c r="Y21" s="40" t="s">
        <v>162</v>
      </c>
      <c r="Z21" s="40" t="s">
        <v>161</v>
      </c>
      <c r="AA21" s="40" t="s">
        <v>162</v>
      </c>
      <c r="AB21" s="40" t="s">
        <v>161</v>
      </c>
      <c r="AC21" s="40" t="s">
        <v>162</v>
      </c>
      <c r="AD21" s="40" t="s">
        <v>161</v>
      </c>
      <c r="AE21" s="40" t="s">
        <v>162</v>
      </c>
      <c r="AF21" s="40" t="s">
        <v>161</v>
      </c>
      <c r="AG21" s="40" t="s">
        <v>162</v>
      </c>
      <c r="AH21" s="40" t="s">
        <v>161</v>
      </c>
      <c r="AI21" s="40" t="s">
        <v>162</v>
      </c>
      <c r="AJ21" s="40" t="s">
        <v>161</v>
      </c>
      <c r="AK21" s="40" t="s">
        <v>162</v>
      </c>
      <c r="AL21" s="40" t="s">
        <v>161</v>
      </c>
      <c r="AM21" s="40" t="s">
        <v>162</v>
      </c>
      <c r="AN21" s="40" t="s">
        <v>161</v>
      </c>
      <c r="AO21" s="40" t="s">
        <v>162</v>
      </c>
      <c r="AP21" s="40" t="s">
        <v>161</v>
      </c>
      <c r="AQ21" s="40" t="s">
        <v>162</v>
      </c>
      <c r="AR21" s="40" t="s">
        <v>161</v>
      </c>
      <c r="AS21" s="40" t="s">
        <v>162</v>
      </c>
      <c r="AT21" s="40" t="s">
        <v>161</v>
      </c>
      <c r="AU21" s="40" t="s">
        <v>162</v>
      </c>
      <c r="AV21" s="40" t="s">
        <v>161</v>
      </c>
      <c r="AW21" s="40" t="s">
        <v>162</v>
      </c>
      <c r="AX21" s="40" t="s">
        <v>161</v>
      </c>
      <c r="AY21" s="40" t="s">
        <v>162</v>
      </c>
      <c r="AZ21" s="40" t="s">
        <v>161</v>
      </c>
      <c r="BA21" s="40" t="s">
        <v>162</v>
      </c>
      <c r="BB21" s="40" t="s">
        <v>161</v>
      </c>
      <c r="BC21" s="40" t="s">
        <v>162</v>
      </c>
      <c r="BD21" s="40" t="s">
        <v>161</v>
      </c>
      <c r="BE21" s="40" t="s">
        <v>162</v>
      </c>
      <c r="BF21" s="40" t="s">
        <v>161</v>
      </c>
      <c r="BG21" s="40" t="s">
        <v>162</v>
      </c>
      <c r="BH21" s="40" t="s">
        <v>161</v>
      </c>
      <c r="BI21" s="40" t="s">
        <v>162</v>
      </c>
      <c r="BJ21" s="40" t="s">
        <v>161</v>
      </c>
      <c r="BK21" s="40" t="s">
        <v>162</v>
      </c>
      <c r="BL21" s="40" t="s">
        <v>161</v>
      </c>
      <c r="BM21" s="40" t="s">
        <v>162</v>
      </c>
      <c r="BN21" s="40" t="s">
        <v>161</v>
      </c>
      <c r="BO21" s="40" t="s">
        <v>162</v>
      </c>
      <c r="BP21" s="40" t="s">
        <v>161</v>
      </c>
      <c r="BQ21" s="40" t="s">
        <v>162</v>
      </c>
    </row>
    <row r="22" spans="1:69" x14ac:dyDescent="0.25">
      <c r="A22" s="41" t="s">
        <v>67</v>
      </c>
      <c r="B22" s="41"/>
      <c r="C22" s="41"/>
      <c r="D22" s="41"/>
      <c r="E22" s="41"/>
      <c r="F22" s="41"/>
      <c r="G22" s="41"/>
      <c r="H22" s="41"/>
      <c r="I22" s="41"/>
      <c r="J22" s="68">
        <v>1249696</v>
      </c>
      <c r="K22" s="68">
        <v>2679669</v>
      </c>
      <c r="L22" s="41">
        <v>506274</v>
      </c>
      <c r="M22" s="41">
        <v>861441</v>
      </c>
      <c r="N22" s="41">
        <v>393687</v>
      </c>
      <c r="O22" s="41">
        <v>1021440</v>
      </c>
      <c r="P22" s="41"/>
      <c r="Q22" s="41"/>
      <c r="R22" s="41"/>
      <c r="S22" s="41"/>
      <c r="T22" s="41"/>
      <c r="U22" s="41"/>
      <c r="V22" s="41"/>
      <c r="W22" s="41"/>
      <c r="X22" s="41">
        <f>165048+14950</f>
        <v>179998</v>
      </c>
      <c r="Y22" s="41">
        <f>440948+23890</f>
        <v>464838</v>
      </c>
      <c r="Z22" s="41"/>
      <c r="AA22" s="41"/>
      <c r="AB22" s="41">
        <f>904545+34865</f>
        <v>939410</v>
      </c>
      <c r="AC22" s="41">
        <f>2023872+39268</f>
        <v>2063140</v>
      </c>
      <c r="AD22" s="41">
        <v>1570615</v>
      </c>
      <c r="AE22" s="41">
        <v>3582897</v>
      </c>
      <c r="AF22" s="41">
        <v>1109240</v>
      </c>
      <c r="AG22" s="41">
        <v>2240836</v>
      </c>
      <c r="AH22" s="41">
        <v>40114</v>
      </c>
      <c r="AI22" s="41">
        <v>130037</v>
      </c>
      <c r="AJ22" s="41">
        <f>171838+2831</f>
        <v>174669</v>
      </c>
      <c r="AK22" s="41">
        <f>407056+4191</f>
        <v>411247</v>
      </c>
      <c r="AL22" s="41">
        <v>84335</v>
      </c>
      <c r="AM22" s="41">
        <v>226941</v>
      </c>
      <c r="AN22" s="41"/>
      <c r="AO22" s="41"/>
      <c r="AP22" s="41">
        <v>5428583.0049999999</v>
      </c>
      <c r="AQ22" s="41">
        <v>6974041.5789999999</v>
      </c>
      <c r="AR22" s="41">
        <v>3254627</v>
      </c>
      <c r="AS22" s="41">
        <v>8884239</v>
      </c>
      <c r="AT22" s="41">
        <v>1012343</v>
      </c>
      <c r="AU22" s="41">
        <v>2705345</v>
      </c>
      <c r="AV22" s="41">
        <f>4016+43</f>
        <v>4059</v>
      </c>
      <c r="AW22" s="41">
        <f>7985+44</f>
        <v>8029</v>
      </c>
      <c r="AX22" s="41">
        <v>816961</v>
      </c>
      <c r="AY22" s="41">
        <v>1728529</v>
      </c>
      <c r="AZ22" s="41"/>
      <c r="BA22" s="41"/>
      <c r="BB22" s="41">
        <v>446749</v>
      </c>
      <c r="BC22" s="41">
        <v>1266928</v>
      </c>
      <c r="BD22" s="41">
        <v>349628</v>
      </c>
      <c r="BE22" s="41">
        <v>803779</v>
      </c>
      <c r="BF22" s="41">
        <v>241890</v>
      </c>
      <c r="BG22" s="41">
        <v>660659</v>
      </c>
      <c r="BH22" s="41"/>
      <c r="BI22" s="41"/>
      <c r="BJ22" s="41">
        <v>911108</v>
      </c>
      <c r="BK22" s="41">
        <v>2585343</v>
      </c>
      <c r="BL22" s="41">
        <v>1196756</v>
      </c>
      <c r="BM22" s="41">
        <v>3413354</v>
      </c>
      <c r="BN22" s="41">
        <f>149181+1540</f>
        <v>150721</v>
      </c>
      <c r="BO22" s="41">
        <f>434724+6747</f>
        <v>441471</v>
      </c>
      <c r="BP22" s="41">
        <f t="shared" ref="BP22:BQ25" si="2">B22+D22+F22+H22+J22+L22+N22+P22+R22+T22+V22+X22+Z22+AB22+AD22+AF22+AH22+AJ22+AL22+AN22+AP22+AR22+AT22+AV22+AX22+AZ22+BB22+BD22+BF22+BH22+BJ22+BL22+BN22</f>
        <v>20061463.004999999</v>
      </c>
      <c r="BQ22" s="41">
        <f t="shared" si="2"/>
        <v>43154203.578999996</v>
      </c>
    </row>
    <row r="23" spans="1:69" x14ac:dyDescent="0.25">
      <c r="A23" s="41" t="s">
        <v>68</v>
      </c>
      <c r="B23" s="41"/>
      <c r="C23" s="41"/>
      <c r="D23" s="41"/>
      <c r="E23" s="41"/>
      <c r="F23" s="41"/>
      <c r="G23" s="41"/>
      <c r="H23" s="41"/>
      <c r="I23" s="41"/>
      <c r="J23" s="68">
        <v>0</v>
      </c>
      <c r="K23" s="68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>
        <v>50</v>
      </c>
      <c r="AE23" s="41">
        <v>50</v>
      </c>
      <c r="AF23" s="41"/>
      <c r="AG23" s="41"/>
      <c r="AH23" s="41"/>
      <c r="AI23" s="41"/>
      <c r="AJ23" s="41"/>
      <c r="AK23" s="41"/>
      <c r="AL23" s="41"/>
      <c r="AM23" s="41">
        <v>4</v>
      </c>
      <c r="AN23" s="41"/>
      <c r="AO23" s="41"/>
      <c r="AP23" s="41">
        <v>232.815</v>
      </c>
      <c r="AQ23" s="41">
        <v>409.69600000000003</v>
      </c>
      <c r="AR23" s="41">
        <v>36967</v>
      </c>
      <c r="AS23" s="41">
        <v>40710</v>
      </c>
      <c r="AT23" s="41">
        <v>2219</v>
      </c>
      <c r="AU23" s="41">
        <v>2393</v>
      </c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>
        <v>943</v>
      </c>
      <c r="BK23" s="41">
        <v>1245</v>
      </c>
      <c r="BL23" s="41">
        <v>0</v>
      </c>
      <c r="BM23" s="41">
        <v>0</v>
      </c>
      <c r="BN23" s="41"/>
      <c r="BO23" s="41"/>
      <c r="BP23" s="41">
        <f t="shared" si="2"/>
        <v>40411.815000000002</v>
      </c>
      <c r="BQ23" s="41">
        <f t="shared" si="2"/>
        <v>44811.696000000004</v>
      </c>
    </row>
    <row r="24" spans="1:69" x14ac:dyDescent="0.25">
      <c r="A24" s="41" t="s">
        <v>69</v>
      </c>
      <c r="B24" s="41">
        <f>-62045/1000</f>
        <v>-62.045000000000002</v>
      </c>
      <c r="C24" s="41">
        <f>-63309/1000</f>
        <v>-63.308999999999997</v>
      </c>
      <c r="D24" s="41"/>
      <c r="E24" s="41"/>
      <c r="F24" s="41"/>
      <c r="G24" s="41"/>
      <c r="H24" s="41"/>
      <c r="I24" s="41"/>
      <c r="J24" s="68">
        <v>57245</v>
      </c>
      <c r="K24" s="68">
        <v>210373</v>
      </c>
      <c r="L24" s="41">
        <v>8339</v>
      </c>
      <c r="M24" s="41">
        <v>61627</v>
      </c>
      <c r="N24" s="41">
        <v>517519</v>
      </c>
      <c r="O24" s="41">
        <v>631703</v>
      </c>
      <c r="P24" s="41"/>
      <c r="Q24" s="41"/>
      <c r="R24" s="41"/>
      <c r="S24" s="41"/>
      <c r="T24" s="41"/>
      <c r="U24" s="41"/>
      <c r="V24" s="41"/>
      <c r="W24" s="41"/>
      <c r="X24" s="41">
        <f>63044+3684</f>
        <v>66728</v>
      </c>
      <c r="Y24" s="41">
        <f>425032+13184</f>
        <v>438216</v>
      </c>
      <c r="Z24" s="41"/>
      <c r="AA24" s="41"/>
      <c r="AB24" s="41">
        <f>-173862+-100021</f>
        <v>-273883</v>
      </c>
      <c r="AC24" s="41">
        <f>-659894+-404882</f>
        <v>-1064776</v>
      </c>
      <c r="AD24" s="41">
        <v>758053</v>
      </c>
      <c r="AE24" s="41">
        <v>1966858</v>
      </c>
      <c r="AF24" s="41">
        <v>264803</v>
      </c>
      <c r="AG24" s="41">
        <v>902580</v>
      </c>
      <c r="AH24" s="41">
        <v>2224</v>
      </c>
      <c r="AI24" s="41">
        <v>7558</v>
      </c>
      <c r="AJ24" s="41">
        <f>6809+1435</f>
        <v>8244</v>
      </c>
      <c r="AK24" s="41">
        <f>26839+4901</f>
        <v>31740</v>
      </c>
      <c r="AL24" s="41">
        <v>-67271</v>
      </c>
      <c r="AM24" s="41">
        <v>-250768</v>
      </c>
      <c r="AN24" s="41"/>
      <c r="AO24" s="41"/>
      <c r="AP24" s="41">
        <v>673595.10699999996</v>
      </c>
      <c r="AQ24" s="41">
        <v>2435497.605</v>
      </c>
      <c r="AR24" s="41">
        <v>160651</v>
      </c>
      <c r="AS24" s="41">
        <v>673341</v>
      </c>
      <c r="AT24" s="41">
        <v>58650</v>
      </c>
      <c r="AU24" s="41">
        <v>213630</v>
      </c>
      <c r="AV24" s="41">
        <f>1704+5</f>
        <v>1709</v>
      </c>
      <c r="AW24" s="41">
        <f>3876+11</f>
        <v>3887</v>
      </c>
      <c r="AX24" s="41">
        <v>267274</v>
      </c>
      <c r="AY24" s="41">
        <v>986400</v>
      </c>
      <c r="AZ24" s="41"/>
      <c r="BA24" s="41"/>
      <c r="BB24" s="41">
        <v>-190923</v>
      </c>
      <c r="BC24" s="41">
        <v>-721149</v>
      </c>
      <c r="BD24" s="41">
        <v>16209</v>
      </c>
      <c r="BE24" s="41">
        <v>56876</v>
      </c>
      <c r="BF24" s="41">
        <v>24156</v>
      </c>
      <c r="BG24" s="41">
        <v>80338</v>
      </c>
      <c r="BH24" s="41"/>
      <c r="BI24" s="41"/>
      <c r="BJ24" s="41">
        <v>42288</v>
      </c>
      <c r="BK24" s="41">
        <v>152000</v>
      </c>
      <c r="BL24" s="41">
        <v>-89218</v>
      </c>
      <c r="BM24" s="41">
        <v>1611580</v>
      </c>
      <c r="BN24" s="41">
        <f>5767+2147</f>
        <v>7914</v>
      </c>
      <c r="BO24" s="41">
        <f>25009+25009</f>
        <v>50018</v>
      </c>
      <c r="BP24" s="41">
        <f t="shared" si="2"/>
        <v>2314244.0619999999</v>
      </c>
      <c r="BQ24" s="41">
        <f t="shared" si="2"/>
        <v>8477466.2960000001</v>
      </c>
    </row>
    <row r="25" spans="1:69" x14ac:dyDescent="0.25">
      <c r="A25" s="41" t="s">
        <v>70</v>
      </c>
      <c r="B25" s="41">
        <f>-62045/1000</f>
        <v>-62.045000000000002</v>
      </c>
      <c r="C25" s="41">
        <f>-63309/1000</f>
        <v>-63.308999999999997</v>
      </c>
      <c r="D25" s="41"/>
      <c r="E25" s="41"/>
      <c r="F25" s="41"/>
      <c r="G25" s="41"/>
      <c r="H25" s="41"/>
      <c r="I25" s="41"/>
      <c r="J25" s="68">
        <v>1192451</v>
      </c>
      <c r="K25" s="68">
        <v>2469296</v>
      </c>
      <c r="L25" s="41">
        <v>497936</v>
      </c>
      <c r="M25" s="41">
        <v>799814</v>
      </c>
      <c r="N25" s="41">
        <v>-123832</v>
      </c>
      <c r="O25" s="41">
        <v>389737</v>
      </c>
      <c r="P25" s="41"/>
      <c r="Q25" s="41"/>
      <c r="R25" s="41"/>
      <c r="S25" s="41"/>
      <c r="T25" s="41"/>
      <c r="U25" s="41"/>
      <c r="V25" s="41"/>
      <c r="W25" s="41"/>
      <c r="X25" s="41">
        <f>102004+11266</f>
        <v>113270</v>
      </c>
      <c r="Y25" s="41">
        <f>15916+10706</f>
        <v>26622</v>
      </c>
      <c r="Z25" s="41"/>
      <c r="AA25" s="41"/>
      <c r="AB25" s="41">
        <f>730682+-65156</f>
        <v>665526</v>
      </c>
      <c r="AC25" s="41">
        <f>1363978+365614</f>
        <v>1729592</v>
      </c>
      <c r="AD25" s="41">
        <v>812612</v>
      </c>
      <c r="AE25" s="41">
        <v>1616089</v>
      </c>
      <c r="AF25" s="41">
        <v>844437</v>
      </c>
      <c r="AG25" s="41">
        <v>1338256</v>
      </c>
      <c r="AH25" s="41">
        <v>37890</v>
      </c>
      <c r="AI25" s="41">
        <v>122479</v>
      </c>
      <c r="AJ25" s="41">
        <f>165029+1396</f>
        <v>166425</v>
      </c>
      <c r="AK25" s="41">
        <f>380217+-709</f>
        <v>379508</v>
      </c>
      <c r="AL25" s="41">
        <v>17064</v>
      </c>
      <c r="AM25" s="41">
        <v>-23823</v>
      </c>
      <c r="AN25" s="41"/>
      <c r="AO25" s="41"/>
      <c r="AP25" s="41">
        <v>4755220.7130000005</v>
      </c>
      <c r="AQ25" s="41">
        <v>4538953.67</v>
      </c>
      <c r="AR25" s="41">
        <v>3130943</v>
      </c>
      <c r="AS25" s="41">
        <v>8251608</v>
      </c>
      <c r="AT25" s="41">
        <v>955912</v>
      </c>
      <c r="AU25" s="41">
        <v>2494108</v>
      </c>
      <c r="AV25" s="41">
        <f>2311+38</f>
        <v>2349</v>
      </c>
      <c r="AW25" s="41">
        <f>4109+33</f>
        <v>4142</v>
      </c>
      <c r="AX25" s="41">
        <v>549687</v>
      </c>
      <c r="AY25" s="41">
        <v>742129</v>
      </c>
      <c r="AZ25" s="41"/>
      <c r="BA25" s="41"/>
      <c r="BB25" s="41">
        <v>255826</v>
      </c>
      <c r="BC25" s="41">
        <v>545779</v>
      </c>
      <c r="BD25" s="41">
        <v>333419</v>
      </c>
      <c r="BE25" s="41">
        <v>746903</v>
      </c>
      <c r="BF25" s="41">
        <v>217734</v>
      </c>
      <c r="BG25" s="41">
        <v>580321</v>
      </c>
      <c r="BH25" s="41"/>
      <c r="BI25" s="41"/>
      <c r="BJ25" s="41">
        <v>869763</v>
      </c>
      <c r="BK25" s="41">
        <v>2434588</v>
      </c>
      <c r="BL25" s="41">
        <v>1285974</v>
      </c>
      <c r="BM25" s="41">
        <v>1801774</v>
      </c>
      <c r="BN25" s="41">
        <f>143414+-607</f>
        <v>142807</v>
      </c>
      <c r="BO25" s="41">
        <f>409715+-1096</f>
        <v>408619</v>
      </c>
      <c r="BP25" s="41">
        <f t="shared" si="2"/>
        <v>16723351.668000001</v>
      </c>
      <c r="BQ25" s="41">
        <f t="shared" si="2"/>
        <v>31396431.361000001</v>
      </c>
    </row>
    <row r="27" spans="1:69" x14ac:dyDescent="0.25">
      <c r="A27" s="10" t="s">
        <v>105</v>
      </c>
    </row>
    <row r="28" spans="1:69" s="12" customFormat="1" x14ac:dyDescent="0.25">
      <c r="A28" s="20" t="s">
        <v>0</v>
      </c>
      <c r="B28" s="160" t="s">
        <v>1</v>
      </c>
      <c r="C28" s="160"/>
      <c r="D28" s="160" t="s">
        <v>2</v>
      </c>
      <c r="E28" s="160"/>
      <c r="F28" s="160" t="s">
        <v>3</v>
      </c>
      <c r="G28" s="160"/>
      <c r="H28" s="160" t="s">
        <v>4</v>
      </c>
      <c r="I28" s="160"/>
      <c r="J28" s="160" t="s">
        <v>5</v>
      </c>
      <c r="K28" s="160"/>
      <c r="L28" s="160" t="s">
        <v>6</v>
      </c>
      <c r="M28" s="160"/>
      <c r="N28" s="160" t="s">
        <v>7</v>
      </c>
      <c r="O28" s="160"/>
      <c r="P28" s="160" t="s">
        <v>8</v>
      </c>
      <c r="Q28" s="160"/>
      <c r="R28" s="160" t="s">
        <v>9</v>
      </c>
      <c r="S28" s="160"/>
      <c r="T28" s="160" t="s">
        <v>10</v>
      </c>
      <c r="U28" s="160"/>
      <c r="V28" s="160" t="s">
        <v>11</v>
      </c>
      <c r="W28" s="160"/>
      <c r="X28" s="160" t="s">
        <v>12</v>
      </c>
      <c r="Y28" s="160"/>
      <c r="Z28" s="160" t="s">
        <v>13</v>
      </c>
      <c r="AA28" s="160"/>
      <c r="AB28" s="160" t="s">
        <v>14</v>
      </c>
      <c r="AC28" s="160"/>
      <c r="AD28" s="160" t="s">
        <v>15</v>
      </c>
      <c r="AE28" s="160"/>
      <c r="AF28" s="160" t="s">
        <v>16</v>
      </c>
      <c r="AG28" s="160"/>
      <c r="AH28" s="160" t="s">
        <v>17</v>
      </c>
      <c r="AI28" s="160"/>
      <c r="AJ28" s="160" t="s">
        <v>18</v>
      </c>
      <c r="AK28" s="160"/>
      <c r="AL28" s="160" t="s">
        <v>19</v>
      </c>
      <c r="AM28" s="160"/>
      <c r="AN28" s="160" t="s">
        <v>20</v>
      </c>
      <c r="AO28" s="160"/>
      <c r="AP28" s="160" t="s">
        <v>21</v>
      </c>
      <c r="AQ28" s="160"/>
      <c r="AR28" s="160" t="s">
        <v>109</v>
      </c>
      <c r="AS28" s="160"/>
      <c r="AT28" s="160" t="s">
        <v>110</v>
      </c>
      <c r="AU28" s="160"/>
      <c r="AV28" s="160" t="s">
        <v>22</v>
      </c>
      <c r="AW28" s="160"/>
      <c r="AX28" s="160" t="s">
        <v>23</v>
      </c>
      <c r="AY28" s="160"/>
      <c r="AZ28" s="160" t="s">
        <v>24</v>
      </c>
      <c r="BA28" s="160"/>
      <c r="BB28" s="160" t="s">
        <v>25</v>
      </c>
      <c r="BC28" s="160"/>
      <c r="BD28" s="160" t="s">
        <v>26</v>
      </c>
      <c r="BE28" s="160"/>
      <c r="BF28" s="160" t="s">
        <v>27</v>
      </c>
      <c r="BG28" s="160"/>
      <c r="BH28" s="160" t="s">
        <v>28</v>
      </c>
      <c r="BI28" s="160"/>
      <c r="BJ28" s="160" t="s">
        <v>29</v>
      </c>
      <c r="BK28" s="160"/>
      <c r="BL28" s="160" t="s">
        <v>30</v>
      </c>
      <c r="BM28" s="160"/>
      <c r="BN28" s="160" t="s">
        <v>31</v>
      </c>
      <c r="BO28" s="160"/>
      <c r="BP28" s="160" t="s">
        <v>150</v>
      </c>
      <c r="BQ28" s="160"/>
    </row>
    <row r="29" spans="1:69" s="39" customFormat="1" ht="44.25" customHeight="1" x14ac:dyDescent="0.25">
      <c r="A29" s="40"/>
      <c r="B29" s="40" t="s">
        <v>161</v>
      </c>
      <c r="C29" s="40" t="s">
        <v>162</v>
      </c>
      <c r="D29" s="40" t="s">
        <v>161</v>
      </c>
      <c r="E29" s="40" t="s">
        <v>162</v>
      </c>
      <c r="F29" s="40" t="s">
        <v>161</v>
      </c>
      <c r="G29" s="40" t="s">
        <v>162</v>
      </c>
      <c r="H29" s="40" t="s">
        <v>161</v>
      </c>
      <c r="I29" s="40" t="s">
        <v>162</v>
      </c>
      <c r="J29" s="40" t="s">
        <v>161</v>
      </c>
      <c r="K29" s="40" t="s">
        <v>162</v>
      </c>
      <c r="L29" s="40" t="s">
        <v>161</v>
      </c>
      <c r="M29" s="40" t="s">
        <v>162</v>
      </c>
      <c r="N29" s="40" t="s">
        <v>161</v>
      </c>
      <c r="O29" s="40" t="s">
        <v>162</v>
      </c>
      <c r="P29" s="40" t="s">
        <v>161</v>
      </c>
      <c r="Q29" s="40" t="s">
        <v>162</v>
      </c>
      <c r="R29" s="40" t="s">
        <v>161</v>
      </c>
      <c r="S29" s="40" t="s">
        <v>162</v>
      </c>
      <c r="T29" s="40" t="s">
        <v>161</v>
      </c>
      <c r="U29" s="40" t="s">
        <v>162</v>
      </c>
      <c r="V29" s="40" t="s">
        <v>161</v>
      </c>
      <c r="W29" s="40" t="s">
        <v>162</v>
      </c>
      <c r="X29" s="40" t="s">
        <v>161</v>
      </c>
      <c r="Y29" s="40" t="s">
        <v>162</v>
      </c>
      <c r="Z29" s="40" t="s">
        <v>161</v>
      </c>
      <c r="AA29" s="40" t="s">
        <v>162</v>
      </c>
      <c r="AB29" s="40" t="s">
        <v>161</v>
      </c>
      <c r="AC29" s="40" t="s">
        <v>162</v>
      </c>
      <c r="AD29" s="40" t="s">
        <v>161</v>
      </c>
      <c r="AE29" s="40" t="s">
        <v>162</v>
      </c>
      <c r="AF29" s="40" t="s">
        <v>161</v>
      </c>
      <c r="AG29" s="40" t="s">
        <v>162</v>
      </c>
      <c r="AH29" s="40" t="s">
        <v>161</v>
      </c>
      <c r="AI29" s="40" t="s">
        <v>162</v>
      </c>
      <c r="AJ29" s="40" t="s">
        <v>161</v>
      </c>
      <c r="AK29" s="40" t="s">
        <v>162</v>
      </c>
      <c r="AL29" s="40" t="s">
        <v>161</v>
      </c>
      <c r="AM29" s="40" t="s">
        <v>162</v>
      </c>
      <c r="AN29" s="40" t="s">
        <v>161</v>
      </c>
      <c r="AO29" s="40" t="s">
        <v>162</v>
      </c>
      <c r="AP29" s="40" t="s">
        <v>161</v>
      </c>
      <c r="AQ29" s="40" t="s">
        <v>162</v>
      </c>
      <c r="AR29" s="40" t="s">
        <v>161</v>
      </c>
      <c r="AS29" s="40" t="s">
        <v>162</v>
      </c>
      <c r="AT29" s="40" t="s">
        <v>161</v>
      </c>
      <c r="AU29" s="40" t="s">
        <v>162</v>
      </c>
      <c r="AV29" s="40" t="s">
        <v>161</v>
      </c>
      <c r="AW29" s="40" t="s">
        <v>162</v>
      </c>
      <c r="AX29" s="40" t="s">
        <v>161</v>
      </c>
      <c r="AY29" s="40" t="s">
        <v>162</v>
      </c>
      <c r="AZ29" s="40" t="s">
        <v>161</v>
      </c>
      <c r="BA29" s="40" t="s">
        <v>162</v>
      </c>
      <c r="BB29" s="40" t="s">
        <v>161</v>
      </c>
      <c r="BC29" s="40" t="s">
        <v>162</v>
      </c>
      <c r="BD29" s="40" t="s">
        <v>161</v>
      </c>
      <c r="BE29" s="40" t="s">
        <v>162</v>
      </c>
      <c r="BF29" s="40" t="s">
        <v>161</v>
      </c>
      <c r="BG29" s="40" t="s">
        <v>162</v>
      </c>
      <c r="BH29" s="40" t="s">
        <v>161</v>
      </c>
      <c r="BI29" s="40" t="s">
        <v>162</v>
      </c>
      <c r="BJ29" s="40" t="s">
        <v>161</v>
      </c>
      <c r="BK29" s="40" t="s">
        <v>162</v>
      </c>
      <c r="BL29" s="40" t="s">
        <v>161</v>
      </c>
      <c r="BM29" s="40" t="s">
        <v>162</v>
      </c>
      <c r="BN29" s="40" t="s">
        <v>161</v>
      </c>
      <c r="BO29" s="40" t="s">
        <v>162</v>
      </c>
      <c r="BP29" s="40" t="s">
        <v>161</v>
      </c>
      <c r="BQ29" s="40" t="s">
        <v>162</v>
      </c>
    </row>
    <row r="30" spans="1:69" x14ac:dyDescent="0.25">
      <c r="A30" s="41" t="s">
        <v>67</v>
      </c>
      <c r="B30" s="41"/>
      <c r="C30" s="41"/>
      <c r="D30" s="41"/>
      <c r="E30" s="41"/>
      <c r="F30" s="41"/>
      <c r="G30" s="41"/>
      <c r="H30" s="41"/>
      <c r="I30" s="41"/>
      <c r="J30" s="70">
        <v>27988</v>
      </c>
      <c r="K30" s="70">
        <v>75024</v>
      </c>
      <c r="L30" s="41">
        <v>7947</v>
      </c>
      <c r="M30" s="41">
        <v>14536</v>
      </c>
      <c r="N30" s="41">
        <v>3982</v>
      </c>
      <c r="O30" s="41">
        <v>21184</v>
      </c>
      <c r="P30" s="41"/>
      <c r="Q30" s="41"/>
      <c r="R30" s="41"/>
      <c r="S30" s="41"/>
      <c r="T30" s="41"/>
      <c r="U30" s="41"/>
      <c r="V30" s="41"/>
      <c r="W30" s="41"/>
      <c r="X30" s="41">
        <v>15273</v>
      </c>
      <c r="Y30" s="41">
        <v>43718</v>
      </c>
      <c r="Z30" s="41"/>
      <c r="AA30" s="41"/>
      <c r="AB30" s="41">
        <v>43835</v>
      </c>
      <c r="AC30" s="41">
        <v>99522</v>
      </c>
      <c r="AD30" s="41">
        <v>28262</v>
      </c>
      <c r="AE30" s="41">
        <v>140561</v>
      </c>
      <c r="AF30" s="41">
        <v>28740</v>
      </c>
      <c r="AG30" s="41">
        <v>67127</v>
      </c>
      <c r="AH30" s="41"/>
      <c r="AI30" s="41"/>
      <c r="AJ30" s="41">
        <v>1974</v>
      </c>
      <c r="AK30" s="41">
        <v>4660</v>
      </c>
      <c r="AL30" s="41">
        <v>1983</v>
      </c>
      <c r="AM30" s="41">
        <v>6607</v>
      </c>
      <c r="AN30" s="41"/>
      <c r="AO30" s="41"/>
      <c r="AP30" s="41">
        <v>95163.494000000006</v>
      </c>
      <c r="AQ30" s="41">
        <v>227653.12400000001</v>
      </c>
      <c r="AR30" s="41">
        <v>181447</v>
      </c>
      <c r="AS30" s="41">
        <v>545638</v>
      </c>
      <c r="AT30" s="41">
        <v>55723</v>
      </c>
      <c r="AU30" s="41">
        <v>173352</v>
      </c>
      <c r="AV30" s="41">
        <v>97</v>
      </c>
      <c r="AW30" s="41">
        <v>432</v>
      </c>
      <c r="AX30" s="41">
        <v>21203</v>
      </c>
      <c r="AY30" s="41">
        <v>66796</v>
      </c>
      <c r="AZ30" s="41"/>
      <c r="BA30" s="41"/>
      <c r="BB30" s="41">
        <v>13727</v>
      </c>
      <c r="BC30" s="41">
        <v>47938</v>
      </c>
      <c r="BD30" s="41">
        <v>3813</v>
      </c>
      <c r="BE30" s="41">
        <v>18985</v>
      </c>
      <c r="BF30" s="41">
        <v>3242</v>
      </c>
      <c r="BG30" s="41">
        <v>10411</v>
      </c>
      <c r="BH30" s="41"/>
      <c r="BI30" s="41"/>
      <c r="BJ30" s="41">
        <v>18675</v>
      </c>
      <c r="BK30" s="41">
        <v>78109</v>
      </c>
      <c r="BL30" s="41">
        <v>76233</v>
      </c>
      <c r="BM30" s="41">
        <v>263987</v>
      </c>
      <c r="BN30" s="41">
        <v>2463</v>
      </c>
      <c r="BO30" s="41">
        <v>5416</v>
      </c>
      <c r="BP30" s="41">
        <f t="shared" ref="BP30:BQ33" si="3">B30+D30+F30+H30+J30+L30+N30+P30+R30+T30+V30+X30+Z30+AB30+AD30+AF30+AH30+AJ30+AL30+AN30+AP30+AR30+AT30+AV30+AX30+AZ30+BB30+BD30+BF30+BH30+BJ30+BL30+BN30</f>
        <v>631770.49399999995</v>
      </c>
      <c r="BQ30" s="41">
        <f t="shared" si="3"/>
        <v>1911656.1240000001</v>
      </c>
    </row>
    <row r="31" spans="1:69" x14ac:dyDescent="0.25">
      <c r="A31" s="41" t="s">
        <v>68</v>
      </c>
      <c r="B31" s="41"/>
      <c r="C31" s="41"/>
      <c r="D31" s="41"/>
      <c r="E31" s="41"/>
      <c r="F31" s="41"/>
      <c r="G31" s="41"/>
      <c r="H31" s="41"/>
      <c r="I31" s="41"/>
      <c r="J31" s="70">
        <v>2368</v>
      </c>
      <c r="K31" s="70">
        <v>8825</v>
      </c>
      <c r="L31" s="41">
        <v>164</v>
      </c>
      <c r="M31" s="41">
        <v>366</v>
      </c>
      <c r="N31" s="41">
        <v>27</v>
      </c>
      <c r="O31" s="41">
        <v>165</v>
      </c>
      <c r="P31" s="41"/>
      <c r="Q31" s="41"/>
      <c r="R31" s="41"/>
      <c r="S31" s="41"/>
      <c r="T31" s="41"/>
      <c r="U31" s="41"/>
      <c r="V31" s="41"/>
      <c r="W31" s="41"/>
      <c r="X31" s="41">
        <v>6474</v>
      </c>
      <c r="Y31" s="41">
        <v>6601</v>
      </c>
      <c r="Z31" s="41"/>
      <c r="AA31" s="41"/>
      <c r="AB31" s="41">
        <v>2156</v>
      </c>
      <c r="AC31" s="41">
        <v>5821</v>
      </c>
      <c r="AD31" s="41">
        <v>5230</v>
      </c>
      <c r="AE31" s="41">
        <v>57236</v>
      </c>
      <c r="AF31" s="41">
        <v>1692</v>
      </c>
      <c r="AG31" s="41">
        <v>4349</v>
      </c>
      <c r="AH31" s="41">
        <v>7</v>
      </c>
      <c r="AI31" s="41">
        <v>42</v>
      </c>
      <c r="AJ31" s="41">
        <v>14</v>
      </c>
      <c r="AK31" s="41">
        <v>87</v>
      </c>
      <c r="AL31" s="41">
        <v>49</v>
      </c>
      <c r="AM31" s="41">
        <v>145</v>
      </c>
      <c r="AN31" s="41"/>
      <c r="AO31" s="41"/>
      <c r="AP31" s="41">
        <v>79060.233999999997</v>
      </c>
      <c r="AQ31" s="41">
        <v>122644.717</v>
      </c>
      <c r="AR31" s="41">
        <v>23595</v>
      </c>
      <c r="AS31" s="41">
        <v>101376</v>
      </c>
      <c r="AT31" s="41">
        <v>18401</v>
      </c>
      <c r="AU31" s="41">
        <v>94437</v>
      </c>
      <c r="AV31" s="41">
        <v>10</v>
      </c>
      <c r="AW31" s="41">
        <v>51</v>
      </c>
      <c r="AX31" s="41">
        <v>85</v>
      </c>
      <c r="AY31" s="41">
        <v>1934</v>
      </c>
      <c r="AZ31" s="41"/>
      <c r="BA31" s="41"/>
      <c r="BB31" s="41">
        <v>363</v>
      </c>
      <c r="BC31" s="41">
        <v>1361</v>
      </c>
      <c r="BD31" s="41">
        <v>166</v>
      </c>
      <c r="BE31" s="41">
        <v>715</v>
      </c>
      <c r="BF31" s="41">
        <v>275</v>
      </c>
      <c r="BG31" s="41">
        <v>1098</v>
      </c>
      <c r="BH31" s="41"/>
      <c r="BI31" s="41"/>
      <c r="BJ31" s="41">
        <v>473</v>
      </c>
      <c r="BK31" s="41">
        <v>6271</v>
      </c>
      <c r="BL31" s="41">
        <v>13830</v>
      </c>
      <c r="BM31" s="41">
        <v>60262</v>
      </c>
      <c r="BN31" s="41">
        <v>97</v>
      </c>
      <c r="BO31" s="41">
        <v>560</v>
      </c>
      <c r="BP31" s="41">
        <f t="shared" si="3"/>
        <v>154536.234</v>
      </c>
      <c r="BQ31" s="41">
        <f t="shared" si="3"/>
        <v>474346.717</v>
      </c>
    </row>
    <row r="32" spans="1:69" x14ac:dyDescent="0.25">
      <c r="A32" s="41" t="s">
        <v>69</v>
      </c>
      <c r="B32" s="41">
        <f>-5062/1000</f>
        <v>-5.0620000000000003</v>
      </c>
      <c r="C32" s="41">
        <f>-5062/1000</f>
        <v>-5.0620000000000003</v>
      </c>
      <c r="D32" s="41"/>
      <c r="E32" s="41"/>
      <c r="F32" s="41"/>
      <c r="G32" s="41"/>
      <c r="H32" s="41"/>
      <c r="I32" s="41"/>
      <c r="J32" s="70">
        <v>48320</v>
      </c>
      <c r="K32" s="68">
        <v>187361</v>
      </c>
      <c r="L32" s="41">
        <v>8024</v>
      </c>
      <c r="M32" s="41">
        <v>24842</v>
      </c>
      <c r="N32" s="41">
        <v>15120</v>
      </c>
      <c r="O32" s="41">
        <v>31773</v>
      </c>
      <c r="P32" s="41"/>
      <c r="Q32" s="41"/>
      <c r="R32" s="41"/>
      <c r="S32" s="41"/>
      <c r="T32" s="41"/>
      <c r="U32" s="41"/>
      <c r="V32" s="41"/>
      <c r="W32" s="41"/>
      <c r="X32" s="41">
        <v>14612</v>
      </c>
      <c r="Y32" s="41">
        <v>55116</v>
      </c>
      <c r="Z32" s="41"/>
      <c r="AA32" s="41"/>
      <c r="AB32" s="41">
        <v>-88214</v>
      </c>
      <c r="AC32" s="41">
        <v>-231258</v>
      </c>
      <c r="AD32" s="41">
        <v>-637</v>
      </c>
      <c r="AE32" s="41">
        <v>243102</v>
      </c>
      <c r="AF32" s="41">
        <v>9896</v>
      </c>
      <c r="AG32" s="41">
        <v>75036</v>
      </c>
      <c r="AH32" s="41"/>
      <c r="AI32" s="41"/>
      <c r="AJ32" s="41">
        <v>8799</v>
      </c>
      <c r="AK32" s="41">
        <v>26526</v>
      </c>
      <c r="AL32" s="41">
        <v>-2284</v>
      </c>
      <c r="AM32" s="41">
        <v>-7148</v>
      </c>
      <c r="AN32" s="41"/>
      <c r="AO32" s="41"/>
      <c r="AP32" s="41">
        <v>26279.491000000002</v>
      </c>
      <c r="AQ32" s="41">
        <v>82659.832999999999</v>
      </c>
      <c r="AR32" s="41">
        <v>203453</v>
      </c>
      <c r="AS32" s="41">
        <v>378945</v>
      </c>
      <c r="AT32" s="41">
        <v>-1705</v>
      </c>
      <c r="AU32" s="41">
        <v>68081</v>
      </c>
      <c r="AV32" s="41">
        <v>69</v>
      </c>
      <c r="AW32" s="41">
        <v>385</v>
      </c>
      <c r="AX32" s="41">
        <v>9137</v>
      </c>
      <c r="AY32" s="41">
        <v>45848</v>
      </c>
      <c r="AZ32" s="41"/>
      <c r="BA32" s="41"/>
      <c r="BB32" s="41">
        <v>-28618</v>
      </c>
      <c r="BC32" s="41">
        <v>-131942</v>
      </c>
      <c r="BD32" s="41">
        <v>31457</v>
      </c>
      <c r="BE32" s="41">
        <v>52490</v>
      </c>
      <c r="BF32" s="41">
        <v>6325</v>
      </c>
      <c r="BG32" s="41">
        <v>18857</v>
      </c>
      <c r="BH32" s="41"/>
      <c r="BI32" s="41"/>
      <c r="BJ32" s="41">
        <v>35167</v>
      </c>
      <c r="BK32" s="41">
        <v>183743</v>
      </c>
      <c r="BL32" s="41">
        <v>56093</v>
      </c>
      <c r="BM32" s="41">
        <v>179476</v>
      </c>
      <c r="BN32" s="41">
        <v>7524</v>
      </c>
      <c r="BO32" s="41">
        <v>18955</v>
      </c>
      <c r="BP32" s="41">
        <f t="shared" si="3"/>
        <v>358812.429</v>
      </c>
      <c r="BQ32" s="41">
        <f t="shared" si="3"/>
        <v>1302842.7709999999</v>
      </c>
    </row>
    <row r="33" spans="1:69" x14ac:dyDescent="0.25">
      <c r="A33" s="41" t="s">
        <v>70</v>
      </c>
      <c r="B33" s="41">
        <f>-5062/1000</f>
        <v>-5.0620000000000003</v>
      </c>
      <c r="C33" s="41">
        <f>-5062/1000</f>
        <v>-5.0620000000000003</v>
      </c>
      <c r="D33" s="41"/>
      <c r="E33" s="41"/>
      <c r="F33" s="41"/>
      <c r="G33" s="41"/>
      <c r="H33" s="41"/>
      <c r="I33" s="41"/>
      <c r="J33" s="70">
        <v>-17964</v>
      </c>
      <c r="K33" s="68">
        <v>-103512</v>
      </c>
      <c r="L33" s="41">
        <v>87</v>
      </c>
      <c r="M33" s="41">
        <v>-9940</v>
      </c>
      <c r="N33" s="41">
        <v>-11111</v>
      </c>
      <c r="O33" s="41">
        <v>-10424</v>
      </c>
      <c r="P33" s="41"/>
      <c r="Q33" s="41"/>
      <c r="R33" s="41"/>
      <c r="S33" s="41"/>
      <c r="T33" s="41"/>
      <c r="U33" s="41"/>
      <c r="V33" s="41"/>
      <c r="W33" s="41"/>
      <c r="X33" s="41">
        <v>7135</v>
      </c>
      <c r="Y33" s="41">
        <v>-4797</v>
      </c>
      <c r="Z33" s="41"/>
      <c r="AA33" s="41"/>
      <c r="AB33" s="41">
        <v>-42223</v>
      </c>
      <c r="AC33" s="41">
        <v>-125915</v>
      </c>
      <c r="AD33" s="41">
        <v>34129</v>
      </c>
      <c r="AE33" s="41">
        <v>-45305</v>
      </c>
      <c r="AF33" s="41">
        <v>20536</v>
      </c>
      <c r="AG33" s="41">
        <v>-3560</v>
      </c>
      <c r="AH33" s="41">
        <v>7</v>
      </c>
      <c r="AI33" s="41">
        <v>42</v>
      </c>
      <c r="AJ33" s="41">
        <v>-6810</v>
      </c>
      <c r="AK33" s="41">
        <v>-21779</v>
      </c>
      <c r="AL33" s="41">
        <v>-252</v>
      </c>
      <c r="AM33" s="41">
        <v>-396</v>
      </c>
      <c r="AN33" s="41"/>
      <c r="AO33" s="41"/>
      <c r="AP33" s="41">
        <v>147944.23699999999</v>
      </c>
      <c r="AQ33" s="41">
        <v>267638.00800000003</v>
      </c>
      <c r="AR33" s="41">
        <v>1588</v>
      </c>
      <c r="AS33" s="41">
        <v>268070</v>
      </c>
      <c r="AT33" s="41">
        <v>75829</v>
      </c>
      <c r="AU33" s="41">
        <v>199708</v>
      </c>
      <c r="AV33" s="41">
        <v>38</v>
      </c>
      <c r="AW33" s="41">
        <v>98</v>
      </c>
      <c r="AX33" s="41">
        <v>12151</v>
      </c>
      <c r="AY33" s="41">
        <v>22882</v>
      </c>
      <c r="AZ33" s="41"/>
      <c r="BA33" s="41"/>
      <c r="BB33" s="41">
        <v>-14528</v>
      </c>
      <c r="BC33" s="41">
        <v>-82643</v>
      </c>
      <c r="BD33" s="41">
        <v>-27478</v>
      </c>
      <c r="BE33" s="41">
        <v>-32790</v>
      </c>
      <c r="BF33" s="41">
        <v>-2809</v>
      </c>
      <c r="BG33" s="41">
        <v>-7348</v>
      </c>
      <c r="BH33" s="41"/>
      <c r="BI33" s="41"/>
      <c r="BJ33" s="41">
        <v>-16019</v>
      </c>
      <c r="BK33" s="41">
        <v>-99363</v>
      </c>
      <c r="BL33" s="41">
        <v>33970</v>
      </c>
      <c r="BM33" s="41">
        <v>144773</v>
      </c>
      <c r="BN33" s="41">
        <v>-4964</v>
      </c>
      <c r="BO33" s="41">
        <v>-12979</v>
      </c>
      <c r="BP33" s="41">
        <f t="shared" si="3"/>
        <v>189251.17499999999</v>
      </c>
      <c r="BQ33" s="41">
        <f t="shared" si="3"/>
        <v>342454.946</v>
      </c>
    </row>
    <row r="35" spans="1:69" x14ac:dyDescent="0.25">
      <c r="A35" s="10" t="s">
        <v>130</v>
      </c>
    </row>
    <row r="36" spans="1:69" s="12" customFormat="1" x14ac:dyDescent="0.25">
      <c r="A36" s="20" t="s">
        <v>0</v>
      </c>
      <c r="B36" s="160" t="s">
        <v>1</v>
      </c>
      <c r="C36" s="160"/>
      <c r="D36" s="160" t="s">
        <v>2</v>
      </c>
      <c r="E36" s="160"/>
      <c r="F36" s="160" t="s">
        <v>3</v>
      </c>
      <c r="G36" s="160"/>
      <c r="H36" s="160" t="s">
        <v>4</v>
      </c>
      <c r="I36" s="160"/>
      <c r="J36" s="160" t="s">
        <v>5</v>
      </c>
      <c r="K36" s="160"/>
      <c r="L36" s="160" t="s">
        <v>6</v>
      </c>
      <c r="M36" s="160"/>
      <c r="N36" s="160" t="s">
        <v>7</v>
      </c>
      <c r="O36" s="160"/>
      <c r="P36" s="160" t="s">
        <v>8</v>
      </c>
      <c r="Q36" s="160"/>
      <c r="R36" s="160" t="s">
        <v>9</v>
      </c>
      <c r="S36" s="160"/>
      <c r="T36" s="160" t="s">
        <v>10</v>
      </c>
      <c r="U36" s="160"/>
      <c r="V36" s="160" t="s">
        <v>11</v>
      </c>
      <c r="W36" s="160"/>
      <c r="X36" s="160" t="s">
        <v>12</v>
      </c>
      <c r="Y36" s="160"/>
      <c r="Z36" s="160" t="s">
        <v>13</v>
      </c>
      <c r="AA36" s="160"/>
      <c r="AB36" s="160" t="s">
        <v>14</v>
      </c>
      <c r="AC36" s="160"/>
      <c r="AD36" s="160" t="s">
        <v>15</v>
      </c>
      <c r="AE36" s="160"/>
      <c r="AF36" s="160" t="s">
        <v>16</v>
      </c>
      <c r="AG36" s="160"/>
      <c r="AH36" s="160" t="s">
        <v>17</v>
      </c>
      <c r="AI36" s="160"/>
      <c r="AJ36" s="160" t="s">
        <v>18</v>
      </c>
      <c r="AK36" s="160"/>
      <c r="AL36" s="160" t="s">
        <v>19</v>
      </c>
      <c r="AM36" s="160"/>
      <c r="AN36" s="160" t="s">
        <v>20</v>
      </c>
      <c r="AO36" s="160"/>
      <c r="AP36" s="160" t="s">
        <v>21</v>
      </c>
      <c r="AQ36" s="160"/>
      <c r="AR36" s="160" t="s">
        <v>109</v>
      </c>
      <c r="AS36" s="160"/>
      <c r="AT36" s="160" t="s">
        <v>110</v>
      </c>
      <c r="AU36" s="160"/>
      <c r="AV36" s="160" t="s">
        <v>22</v>
      </c>
      <c r="AW36" s="160"/>
      <c r="AX36" s="160" t="s">
        <v>23</v>
      </c>
      <c r="AY36" s="160"/>
      <c r="AZ36" s="160" t="s">
        <v>24</v>
      </c>
      <c r="BA36" s="160"/>
      <c r="BB36" s="160" t="s">
        <v>25</v>
      </c>
      <c r="BC36" s="160"/>
      <c r="BD36" s="160" t="s">
        <v>26</v>
      </c>
      <c r="BE36" s="160"/>
      <c r="BF36" s="160" t="s">
        <v>27</v>
      </c>
      <c r="BG36" s="160"/>
      <c r="BH36" s="160" t="s">
        <v>28</v>
      </c>
      <c r="BI36" s="160"/>
      <c r="BJ36" s="160" t="s">
        <v>29</v>
      </c>
      <c r="BK36" s="160"/>
      <c r="BL36" s="160" t="s">
        <v>30</v>
      </c>
      <c r="BM36" s="160"/>
      <c r="BN36" s="160" t="s">
        <v>31</v>
      </c>
      <c r="BO36" s="160"/>
      <c r="BP36" s="160" t="s">
        <v>150</v>
      </c>
      <c r="BQ36" s="160"/>
    </row>
    <row r="37" spans="1:69" s="39" customFormat="1" ht="44.25" customHeight="1" x14ac:dyDescent="0.25">
      <c r="A37" s="40"/>
      <c r="B37" s="40" t="s">
        <v>161</v>
      </c>
      <c r="C37" s="40" t="s">
        <v>162</v>
      </c>
      <c r="D37" s="40" t="s">
        <v>161</v>
      </c>
      <c r="E37" s="40" t="s">
        <v>162</v>
      </c>
      <c r="F37" s="40" t="s">
        <v>161</v>
      </c>
      <c r="G37" s="40" t="s">
        <v>162</v>
      </c>
      <c r="H37" s="40" t="s">
        <v>161</v>
      </c>
      <c r="I37" s="40" t="s">
        <v>162</v>
      </c>
      <c r="J37" s="40" t="s">
        <v>161</v>
      </c>
      <c r="K37" s="40" t="s">
        <v>162</v>
      </c>
      <c r="L37" s="40" t="s">
        <v>161</v>
      </c>
      <c r="M37" s="40" t="s">
        <v>162</v>
      </c>
      <c r="N37" s="40" t="s">
        <v>161</v>
      </c>
      <c r="O37" s="40" t="s">
        <v>162</v>
      </c>
      <c r="P37" s="40" t="s">
        <v>161</v>
      </c>
      <c r="Q37" s="40" t="s">
        <v>162</v>
      </c>
      <c r="R37" s="40" t="s">
        <v>161</v>
      </c>
      <c r="S37" s="40" t="s">
        <v>162</v>
      </c>
      <c r="T37" s="40" t="s">
        <v>161</v>
      </c>
      <c r="U37" s="40" t="s">
        <v>162</v>
      </c>
      <c r="V37" s="40" t="s">
        <v>161</v>
      </c>
      <c r="W37" s="40" t="s">
        <v>162</v>
      </c>
      <c r="X37" s="40" t="s">
        <v>161</v>
      </c>
      <c r="Y37" s="40" t="s">
        <v>162</v>
      </c>
      <c r="Z37" s="40" t="s">
        <v>161</v>
      </c>
      <c r="AA37" s="40" t="s">
        <v>162</v>
      </c>
      <c r="AB37" s="40" t="s">
        <v>161</v>
      </c>
      <c r="AC37" s="40" t="s">
        <v>162</v>
      </c>
      <c r="AD37" s="40" t="s">
        <v>161</v>
      </c>
      <c r="AE37" s="40" t="s">
        <v>162</v>
      </c>
      <c r="AF37" s="40" t="s">
        <v>161</v>
      </c>
      <c r="AG37" s="40" t="s">
        <v>162</v>
      </c>
      <c r="AH37" s="40" t="s">
        <v>161</v>
      </c>
      <c r="AI37" s="40" t="s">
        <v>162</v>
      </c>
      <c r="AJ37" s="40" t="s">
        <v>161</v>
      </c>
      <c r="AK37" s="40" t="s">
        <v>162</v>
      </c>
      <c r="AL37" s="40" t="s">
        <v>161</v>
      </c>
      <c r="AM37" s="40" t="s">
        <v>162</v>
      </c>
      <c r="AN37" s="40" t="s">
        <v>161</v>
      </c>
      <c r="AO37" s="40" t="s">
        <v>162</v>
      </c>
      <c r="AP37" s="40" t="s">
        <v>161</v>
      </c>
      <c r="AQ37" s="40" t="s">
        <v>162</v>
      </c>
      <c r="AR37" s="40" t="s">
        <v>161</v>
      </c>
      <c r="AS37" s="40" t="s">
        <v>162</v>
      </c>
      <c r="AT37" s="40" t="s">
        <v>161</v>
      </c>
      <c r="AU37" s="40" t="s">
        <v>162</v>
      </c>
      <c r="AV37" s="40" t="s">
        <v>161</v>
      </c>
      <c r="AW37" s="40" t="s">
        <v>162</v>
      </c>
      <c r="AX37" s="40" t="s">
        <v>161</v>
      </c>
      <c r="AY37" s="40" t="s">
        <v>162</v>
      </c>
      <c r="AZ37" s="40" t="s">
        <v>161</v>
      </c>
      <c r="BA37" s="40" t="s">
        <v>162</v>
      </c>
      <c r="BB37" s="40" t="s">
        <v>161</v>
      </c>
      <c r="BC37" s="40" t="s">
        <v>162</v>
      </c>
      <c r="BD37" s="40" t="s">
        <v>161</v>
      </c>
      <c r="BE37" s="40" t="s">
        <v>162</v>
      </c>
      <c r="BF37" s="40" t="s">
        <v>161</v>
      </c>
      <c r="BG37" s="40" t="s">
        <v>162</v>
      </c>
      <c r="BH37" s="40" t="s">
        <v>161</v>
      </c>
      <c r="BI37" s="40" t="s">
        <v>162</v>
      </c>
      <c r="BJ37" s="40" t="s">
        <v>161</v>
      </c>
      <c r="BK37" s="40" t="s">
        <v>162</v>
      </c>
      <c r="BL37" s="40" t="s">
        <v>161</v>
      </c>
      <c r="BM37" s="40" t="s">
        <v>162</v>
      </c>
      <c r="BN37" s="40" t="s">
        <v>161</v>
      </c>
      <c r="BO37" s="40" t="s">
        <v>162</v>
      </c>
      <c r="BP37" s="40" t="s">
        <v>161</v>
      </c>
      <c r="BQ37" s="40" t="s">
        <v>162</v>
      </c>
    </row>
    <row r="38" spans="1:69" x14ac:dyDescent="0.25">
      <c r="A38" s="41" t="s">
        <v>67</v>
      </c>
      <c r="B38" s="41"/>
      <c r="C38" s="41"/>
      <c r="D38" s="41">
        <v>65191</v>
      </c>
      <c r="E38" s="41">
        <v>199417</v>
      </c>
      <c r="F38" s="41"/>
      <c r="G38" s="41"/>
      <c r="H38" s="41">
        <v>721106</v>
      </c>
      <c r="I38" s="41">
        <v>1861646</v>
      </c>
      <c r="J38" s="68">
        <v>530990</v>
      </c>
      <c r="K38" s="68">
        <v>1251977</v>
      </c>
      <c r="L38" s="41">
        <v>61007</v>
      </c>
      <c r="M38" s="41">
        <v>118679</v>
      </c>
      <c r="N38" s="41">
        <v>52215</v>
      </c>
      <c r="O38" s="41">
        <v>244248</v>
      </c>
      <c r="P38" s="41">
        <v>134302</v>
      </c>
      <c r="Q38" s="41">
        <v>375445</v>
      </c>
      <c r="R38" s="41">
        <v>69547</v>
      </c>
      <c r="S38" s="41">
        <v>101061</v>
      </c>
      <c r="T38" s="41"/>
      <c r="U38" s="41"/>
      <c r="V38" s="41"/>
      <c r="W38" s="41"/>
      <c r="X38" s="41">
        <v>38094</v>
      </c>
      <c r="Y38" s="41">
        <v>122763</v>
      </c>
      <c r="Z38" s="41"/>
      <c r="AA38" s="41"/>
      <c r="AB38" s="41">
        <v>380975</v>
      </c>
      <c r="AC38" s="41">
        <v>1226019</v>
      </c>
      <c r="AD38" s="41">
        <v>480612</v>
      </c>
      <c r="AE38" s="41">
        <v>1571184</v>
      </c>
      <c r="AF38" s="41">
        <v>226318</v>
      </c>
      <c r="AG38" s="41">
        <v>440553</v>
      </c>
      <c r="AH38" s="41">
        <v>13607</v>
      </c>
      <c r="AI38" s="41">
        <v>34358</v>
      </c>
      <c r="AJ38" s="41">
        <v>42830</v>
      </c>
      <c r="AK38" s="41">
        <v>98248</v>
      </c>
      <c r="AL38" s="41">
        <v>7917</v>
      </c>
      <c r="AM38" s="41">
        <v>25476</v>
      </c>
      <c r="AN38" s="41">
        <v>277523</v>
      </c>
      <c r="AO38" s="41">
        <v>824831</v>
      </c>
      <c r="AP38" s="41">
        <v>1609231.6409999998</v>
      </c>
      <c r="AQ38" s="41">
        <v>3719792.588</v>
      </c>
      <c r="AR38" s="41">
        <v>1441168</v>
      </c>
      <c r="AS38" s="41">
        <v>5448665</v>
      </c>
      <c r="AT38" s="41">
        <v>871202</v>
      </c>
      <c r="AU38" s="41">
        <v>2533315</v>
      </c>
      <c r="AV38" s="41">
        <v>6</v>
      </c>
      <c r="AW38" s="41">
        <v>20</v>
      </c>
      <c r="AX38" s="41">
        <v>116805</v>
      </c>
      <c r="AY38" s="41">
        <v>302586</v>
      </c>
      <c r="AZ38" s="41">
        <v>461822</v>
      </c>
      <c r="BA38" s="41">
        <v>1182001</v>
      </c>
      <c r="BB38" s="41">
        <v>86532</v>
      </c>
      <c r="BC38" s="41">
        <v>291303</v>
      </c>
      <c r="BD38" s="41">
        <v>233318</v>
      </c>
      <c r="BE38" s="41">
        <v>617879</v>
      </c>
      <c r="BF38" s="41">
        <v>45</v>
      </c>
      <c r="BG38" s="41">
        <v>94</v>
      </c>
      <c r="BH38" s="41"/>
      <c r="BI38" s="41"/>
      <c r="BJ38" s="41">
        <v>153311</v>
      </c>
      <c r="BK38" s="41">
        <v>443402</v>
      </c>
      <c r="BL38" s="41">
        <v>560098</v>
      </c>
      <c r="BM38" s="41">
        <v>2629525</v>
      </c>
      <c r="BN38" s="41">
        <v>40224</v>
      </c>
      <c r="BO38" s="41">
        <v>121053</v>
      </c>
      <c r="BP38" s="41">
        <f t="shared" ref="BP38:BQ41" si="4">B38+D38+F38+H38+J38+L38+N38+P38+R38+T38+V38+X38+Z38+AB38+AD38+AF38+AH38+AJ38+AL38+AN38+AP38+AR38+AT38+AV38+AX38+AZ38+BB38+BD38+BF38+BH38+BJ38+BL38+BN38</f>
        <v>8675996.6409999989</v>
      </c>
      <c r="BQ38" s="41">
        <f t="shared" si="4"/>
        <v>25785540.588</v>
      </c>
    </row>
    <row r="39" spans="1:69" x14ac:dyDescent="0.25">
      <c r="A39" s="41" t="s">
        <v>68</v>
      </c>
      <c r="B39" s="41"/>
      <c r="C39" s="41"/>
      <c r="D39" s="41"/>
      <c r="E39" s="41"/>
      <c r="F39" s="41"/>
      <c r="G39" s="41"/>
      <c r="H39" s="41">
        <v>11747</v>
      </c>
      <c r="I39" s="41">
        <v>3028</v>
      </c>
      <c r="J39" s="68">
        <v>0</v>
      </c>
      <c r="K39" s="68">
        <v>0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>
        <v>1815</v>
      </c>
      <c r="AD39" s="41">
        <v>10966</v>
      </c>
      <c r="AE39" s="41">
        <v>109876</v>
      </c>
      <c r="AF39" s="41"/>
      <c r="AG39" s="41">
        <v>152</v>
      </c>
      <c r="AH39" s="41"/>
      <c r="AI39" s="41"/>
      <c r="AJ39" s="41"/>
      <c r="AK39" s="41"/>
      <c r="AL39" s="41"/>
      <c r="AM39" s="41"/>
      <c r="AN39" s="41"/>
      <c r="AO39" s="41"/>
      <c r="AP39" s="41">
        <v>0</v>
      </c>
      <c r="AQ39" s="41">
        <v>0</v>
      </c>
      <c r="AR39" s="41">
        <v>0</v>
      </c>
      <c r="AS39" s="41">
        <v>0</v>
      </c>
      <c r="AT39" s="41">
        <v>0</v>
      </c>
      <c r="AU39" s="41">
        <v>194</v>
      </c>
      <c r="AV39" s="41"/>
      <c r="AW39" s="41"/>
      <c r="AX39" s="41"/>
      <c r="AY39" s="41"/>
      <c r="AZ39" s="41">
        <v>16851</v>
      </c>
      <c r="BA39" s="41">
        <v>51027</v>
      </c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>
        <v>0</v>
      </c>
      <c r="BM39" s="41">
        <v>0</v>
      </c>
      <c r="BN39" s="41"/>
      <c r="BO39" s="41"/>
      <c r="BP39" s="41">
        <f t="shared" si="4"/>
        <v>39564</v>
      </c>
      <c r="BQ39" s="41">
        <f t="shared" si="4"/>
        <v>166092</v>
      </c>
    </row>
    <row r="40" spans="1:69" x14ac:dyDescent="0.25">
      <c r="A40" s="41" t="s">
        <v>69</v>
      </c>
      <c r="B40" s="41"/>
      <c r="C40" s="41"/>
      <c r="D40" s="41">
        <v>4066</v>
      </c>
      <c r="E40" s="41">
        <v>13331</v>
      </c>
      <c r="F40" s="41"/>
      <c r="G40" s="41"/>
      <c r="H40" s="41">
        <v>115635</v>
      </c>
      <c r="I40" s="41">
        <v>783777</v>
      </c>
      <c r="J40" s="68">
        <v>119733</v>
      </c>
      <c r="K40" s="68">
        <v>280205</v>
      </c>
      <c r="L40" s="41">
        <v>56127</v>
      </c>
      <c r="M40" s="41">
        <v>74195</v>
      </c>
      <c r="N40" s="41">
        <v>3322</v>
      </c>
      <c r="O40" s="41">
        <v>17734</v>
      </c>
      <c r="P40" s="41">
        <v>11631</v>
      </c>
      <c r="Q40" s="41">
        <v>26209</v>
      </c>
      <c r="R40" s="41">
        <v>195050</v>
      </c>
      <c r="S40" s="41">
        <v>281998</v>
      </c>
      <c r="T40" s="41">
        <v>5798</v>
      </c>
      <c r="U40" s="41">
        <v>5798</v>
      </c>
      <c r="V40" s="41"/>
      <c r="W40" s="41"/>
      <c r="X40" s="41">
        <v>25634</v>
      </c>
      <c r="Y40" s="41">
        <v>88050</v>
      </c>
      <c r="Z40" s="41"/>
      <c r="AA40" s="41"/>
      <c r="AB40" s="41">
        <v>-766662</v>
      </c>
      <c r="AC40" s="41">
        <v>-2600095</v>
      </c>
      <c r="AD40" s="41">
        <v>1258547</v>
      </c>
      <c r="AE40" s="41">
        <v>4558153</v>
      </c>
      <c r="AF40" s="41">
        <v>28749</v>
      </c>
      <c r="AG40" s="41">
        <v>60527</v>
      </c>
      <c r="AH40" s="41">
        <v>824</v>
      </c>
      <c r="AI40" s="41">
        <v>1940</v>
      </c>
      <c r="AJ40" s="41">
        <v>3273</v>
      </c>
      <c r="AK40" s="41">
        <v>6102</v>
      </c>
      <c r="AL40" s="41">
        <v>-13568</v>
      </c>
      <c r="AM40" s="41">
        <v>-53163</v>
      </c>
      <c r="AN40" s="41">
        <v>197187</v>
      </c>
      <c r="AO40" s="41">
        <v>604773</v>
      </c>
      <c r="AP40" s="41">
        <v>-787987.91599999997</v>
      </c>
      <c r="AQ40" s="41">
        <v>645113.76699999999</v>
      </c>
      <c r="AR40" s="41">
        <v>76357</v>
      </c>
      <c r="AS40" s="41">
        <v>384558</v>
      </c>
      <c r="AT40" s="41">
        <v>67695</v>
      </c>
      <c r="AU40" s="41">
        <v>252905</v>
      </c>
      <c r="AV40" s="41">
        <v>2</v>
      </c>
      <c r="AW40" s="41">
        <v>5</v>
      </c>
      <c r="AX40" s="41">
        <v>163581</v>
      </c>
      <c r="AY40" s="41">
        <v>545058</v>
      </c>
      <c r="AZ40" s="41">
        <v>574574</v>
      </c>
      <c r="BA40" s="41">
        <v>1682120</v>
      </c>
      <c r="BB40" s="41">
        <v>-64036</v>
      </c>
      <c r="BC40" s="41">
        <v>-269470</v>
      </c>
      <c r="BD40" s="41">
        <v>9567</v>
      </c>
      <c r="BE40" s="41">
        <v>26169</v>
      </c>
      <c r="BF40" s="41">
        <v>6</v>
      </c>
      <c r="BG40" s="41">
        <v>15</v>
      </c>
      <c r="BH40" s="41"/>
      <c r="BI40" s="41"/>
      <c r="BJ40" s="41">
        <v>404244</v>
      </c>
      <c r="BK40" s="41">
        <v>1236577</v>
      </c>
      <c r="BL40" s="41">
        <v>164140</v>
      </c>
      <c r="BM40" s="41">
        <v>539150</v>
      </c>
      <c r="BN40" s="41">
        <v>7684</v>
      </c>
      <c r="BO40" s="41">
        <v>23512</v>
      </c>
      <c r="BP40" s="41">
        <f t="shared" si="4"/>
        <v>1861172.084</v>
      </c>
      <c r="BQ40" s="41">
        <f t="shared" si="4"/>
        <v>9215246.7670000009</v>
      </c>
    </row>
    <row r="41" spans="1:69" x14ac:dyDescent="0.25">
      <c r="A41" s="41" t="s">
        <v>70</v>
      </c>
      <c r="B41" s="41"/>
      <c r="C41" s="41"/>
      <c r="D41" s="41">
        <v>61125</v>
      </c>
      <c r="E41" s="41">
        <v>186086</v>
      </c>
      <c r="F41" s="41"/>
      <c r="G41" s="41"/>
      <c r="H41" s="41">
        <v>617218</v>
      </c>
      <c r="I41" s="41">
        <v>1080897</v>
      </c>
      <c r="J41" s="68">
        <v>411257</v>
      </c>
      <c r="K41" s="68">
        <v>971772</v>
      </c>
      <c r="L41" s="41">
        <v>4880</v>
      </c>
      <c r="M41" s="41">
        <v>44483</v>
      </c>
      <c r="N41" s="41">
        <v>48893</v>
      </c>
      <c r="O41" s="41">
        <v>226514</v>
      </c>
      <c r="P41" s="41">
        <v>122671</v>
      </c>
      <c r="Q41" s="41">
        <v>349236</v>
      </c>
      <c r="R41" s="41">
        <f>R38-R40</f>
        <v>-125503</v>
      </c>
      <c r="S41" s="41">
        <f>S38-S40</f>
        <v>-180937</v>
      </c>
      <c r="T41" s="41">
        <v>-5798</v>
      </c>
      <c r="U41" s="41">
        <v>-5798</v>
      </c>
      <c r="V41" s="41"/>
      <c r="W41" s="41"/>
      <c r="X41" s="41">
        <v>12460</v>
      </c>
      <c r="Y41" s="41">
        <v>34713</v>
      </c>
      <c r="Z41" s="41"/>
      <c r="AA41" s="41"/>
      <c r="AB41" s="41">
        <v>-385687</v>
      </c>
      <c r="AC41" s="41">
        <v>-1372262</v>
      </c>
      <c r="AD41" s="41">
        <v>-766969</v>
      </c>
      <c r="AE41" s="41">
        <v>-2877093</v>
      </c>
      <c r="AF41" s="41">
        <v>197569</v>
      </c>
      <c r="AG41" s="41">
        <v>380178</v>
      </c>
      <c r="AH41" s="41">
        <v>12783</v>
      </c>
      <c r="AI41" s="41">
        <v>32418</v>
      </c>
      <c r="AJ41" s="41">
        <v>39556</v>
      </c>
      <c r="AK41" s="41">
        <v>92146</v>
      </c>
      <c r="AL41" s="41">
        <v>-5651</v>
      </c>
      <c r="AM41" s="41">
        <v>-27687</v>
      </c>
      <c r="AN41" s="41">
        <v>80336</v>
      </c>
      <c r="AO41" s="41">
        <v>220058</v>
      </c>
      <c r="AP41" s="41">
        <v>2397219.557</v>
      </c>
      <c r="AQ41" s="41">
        <v>3074678.821</v>
      </c>
      <c r="AR41" s="41">
        <v>1364812</v>
      </c>
      <c r="AS41" s="41">
        <v>5064107</v>
      </c>
      <c r="AT41" s="41">
        <v>803507</v>
      </c>
      <c r="AU41" s="41">
        <v>2280604</v>
      </c>
      <c r="AV41" s="41">
        <v>4</v>
      </c>
      <c r="AW41" s="41">
        <v>15</v>
      </c>
      <c r="AX41" s="41">
        <v>-46776</v>
      </c>
      <c r="AY41" s="41">
        <v>-242472</v>
      </c>
      <c r="AZ41" s="41">
        <v>-95902</v>
      </c>
      <c r="BA41" s="41">
        <v>-449091</v>
      </c>
      <c r="BB41" s="41">
        <v>22496</v>
      </c>
      <c r="BC41" s="41">
        <v>21833</v>
      </c>
      <c r="BD41" s="41">
        <v>223751</v>
      </c>
      <c r="BE41" s="41">
        <v>591710</v>
      </c>
      <c r="BF41" s="41">
        <v>39</v>
      </c>
      <c r="BG41" s="41">
        <v>79</v>
      </c>
      <c r="BH41" s="41"/>
      <c r="BI41" s="41"/>
      <c r="BJ41" s="41">
        <v>-250933</v>
      </c>
      <c r="BK41" s="41">
        <v>-793175</v>
      </c>
      <c r="BL41" s="41">
        <v>395958</v>
      </c>
      <c r="BM41" s="41">
        <v>2090375</v>
      </c>
      <c r="BN41" s="41">
        <v>32540</v>
      </c>
      <c r="BO41" s="41">
        <v>97541</v>
      </c>
      <c r="BP41" s="41">
        <f t="shared" si="4"/>
        <v>5165855.557</v>
      </c>
      <c r="BQ41" s="41">
        <f t="shared" si="4"/>
        <v>10890928.821</v>
      </c>
    </row>
    <row r="43" spans="1:69" x14ac:dyDescent="0.25">
      <c r="A43" s="10" t="s">
        <v>106</v>
      </c>
    </row>
    <row r="44" spans="1:69" s="12" customFormat="1" x14ac:dyDescent="0.25">
      <c r="A44" s="20" t="s">
        <v>0</v>
      </c>
      <c r="B44" s="160" t="s">
        <v>1</v>
      </c>
      <c r="C44" s="160"/>
      <c r="D44" s="160" t="s">
        <v>2</v>
      </c>
      <c r="E44" s="160"/>
      <c r="F44" s="160" t="s">
        <v>3</v>
      </c>
      <c r="G44" s="160"/>
      <c r="H44" s="160" t="s">
        <v>4</v>
      </c>
      <c r="I44" s="160"/>
      <c r="J44" s="160" t="s">
        <v>5</v>
      </c>
      <c r="K44" s="160"/>
      <c r="L44" s="160" t="s">
        <v>6</v>
      </c>
      <c r="M44" s="160"/>
      <c r="N44" s="160" t="s">
        <v>7</v>
      </c>
      <c r="O44" s="160"/>
      <c r="P44" s="160" t="s">
        <v>8</v>
      </c>
      <c r="Q44" s="160"/>
      <c r="R44" s="160" t="s">
        <v>9</v>
      </c>
      <c r="S44" s="160"/>
      <c r="T44" s="160" t="s">
        <v>10</v>
      </c>
      <c r="U44" s="160"/>
      <c r="V44" s="160" t="s">
        <v>11</v>
      </c>
      <c r="W44" s="160"/>
      <c r="X44" s="160" t="s">
        <v>12</v>
      </c>
      <c r="Y44" s="160"/>
      <c r="Z44" s="160" t="s">
        <v>13</v>
      </c>
      <c r="AA44" s="160"/>
      <c r="AB44" s="160" t="s">
        <v>14</v>
      </c>
      <c r="AC44" s="160"/>
      <c r="AD44" s="160" t="s">
        <v>15</v>
      </c>
      <c r="AE44" s="160"/>
      <c r="AF44" s="160" t="s">
        <v>16</v>
      </c>
      <c r="AG44" s="160"/>
      <c r="AH44" s="160" t="s">
        <v>17</v>
      </c>
      <c r="AI44" s="160"/>
      <c r="AJ44" s="160" t="s">
        <v>18</v>
      </c>
      <c r="AK44" s="160"/>
      <c r="AL44" s="160" t="s">
        <v>19</v>
      </c>
      <c r="AM44" s="160"/>
      <c r="AN44" s="160" t="s">
        <v>20</v>
      </c>
      <c r="AO44" s="160"/>
      <c r="AP44" s="160" t="s">
        <v>21</v>
      </c>
      <c r="AQ44" s="160"/>
      <c r="AR44" s="160" t="s">
        <v>109</v>
      </c>
      <c r="AS44" s="160"/>
      <c r="AT44" s="160" t="s">
        <v>110</v>
      </c>
      <c r="AU44" s="160"/>
      <c r="AV44" s="160" t="s">
        <v>22</v>
      </c>
      <c r="AW44" s="160"/>
      <c r="AX44" s="160" t="s">
        <v>23</v>
      </c>
      <c r="AY44" s="160"/>
      <c r="AZ44" s="160" t="s">
        <v>24</v>
      </c>
      <c r="BA44" s="160"/>
      <c r="BB44" s="160" t="s">
        <v>25</v>
      </c>
      <c r="BC44" s="160"/>
      <c r="BD44" s="160" t="s">
        <v>26</v>
      </c>
      <c r="BE44" s="160"/>
      <c r="BF44" s="160" t="s">
        <v>27</v>
      </c>
      <c r="BG44" s="160"/>
      <c r="BH44" s="160" t="s">
        <v>28</v>
      </c>
      <c r="BI44" s="160"/>
      <c r="BJ44" s="160" t="s">
        <v>29</v>
      </c>
      <c r="BK44" s="160"/>
      <c r="BL44" s="160" t="s">
        <v>30</v>
      </c>
      <c r="BM44" s="160"/>
      <c r="BN44" s="160" t="s">
        <v>31</v>
      </c>
      <c r="BO44" s="160"/>
      <c r="BP44" s="160" t="s">
        <v>150</v>
      </c>
      <c r="BQ44" s="160"/>
    </row>
    <row r="45" spans="1:69" s="39" customFormat="1" ht="44.25" customHeight="1" x14ac:dyDescent="0.25">
      <c r="A45" s="40"/>
      <c r="B45" s="40" t="s">
        <v>161</v>
      </c>
      <c r="C45" s="40" t="s">
        <v>162</v>
      </c>
      <c r="D45" s="40" t="s">
        <v>161</v>
      </c>
      <c r="E45" s="40" t="s">
        <v>162</v>
      </c>
      <c r="F45" s="40" t="s">
        <v>161</v>
      </c>
      <c r="G45" s="40" t="s">
        <v>162</v>
      </c>
      <c r="H45" s="40" t="s">
        <v>161</v>
      </c>
      <c r="I45" s="40" t="s">
        <v>162</v>
      </c>
      <c r="J45" s="40" t="s">
        <v>161</v>
      </c>
      <c r="K45" s="40" t="s">
        <v>162</v>
      </c>
      <c r="L45" s="40" t="s">
        <v>161</v>
      </c>
      <c r="M45" s="40" t="s">
        <v>162</v>
      </c>
      <c r="N45" s="40" t="s">
        <v>161</v>
      </c>
      <c r="O45" s="40" t="s">
        <v>162</v>
      </c>
      <c r="P45" s="40" t="s">
        <v>161</v>
      </c>
      <c r="Q45" s="40" t="s">
        <v>162</v>
      </c>
      <c r="R45" s="40" t="s">
        <v>161</v>
      </c>
      <c r="S45" s="40" t="s">
        <v>162</v>
      </c>
      <c r="T45" s="40" t="s">
        <v>161</v>
      </c>
      <c r="U45" s="40" t="s">
        <v>162</v>
      </c>
      <c r="V45" s="40" t="s">
        <v>161</v>
      </c>
      <c r="W45" s="40" t="s">
        <v>162</v>
      </c>
      <c r="X45" s="40" t="s">
        <v>161</v>
      </c>
      <c r="Y45" s="40" t="s">
        <v>162</v>
      </c>
      <c r="Z45" s="40" t="s">
        <v>161</v>
      </c>
      <c r="AA45" s="40" t="s">
        <v>162</v>
      </c>
      <c r="AB45" s="40" t="s">
        <v>161</v>
      </c>
      <c r="AC45" s="40" t="s">
        <v>162</v>
      </c>
      <c r="AD45" s="40" t="s">
        <v>161</v>
      </c>
      <c r="AE45" s="40" t="s">
        <v>162</v>
      </c>
      <c r="AF45" s="40" t="s">
        <v>161</v>
      </c>
      <c r="AG45" s="40" t="s">
        <v>162</v>
      </c>
      <c r="AH45" s="40" t="s">
        <v>161</v>
      </c>
      <c r="AI45" s="40" t="s">
        <v>162</v>
      </c>
      <c r="AJ45" s="40" t="s">
        <v>161</v>
      </c>
      <c r="AK45" s="40" t="s">
        <v>162</v>
      </c>
      <c r="AL45" s="40" t="s">
        <v>161</v>
      </c>
      <c r="AM45" s="40" t="s">
        <v>162</v>
      </c>
      <c r="AN45" s="40" t="s">
        <v>161</v>
      </c>
      <c r="AO45" s="40" t="s">
        <v>162</v>
      </c>
      <c r="AP45" s="40" t="s">
        <v>161</v>
      </c>
      <c r="AQ45" s="40" t="s">
        <v>162</v>
      </c>
      <c r="AR45" s="40" t="s">
        <v>161</v>
      </c>
      <c r="AS45" s="40" t="s">
        <v>162</v>
      </c>
      <c r="AT45" s="40" t="s">
        <v>161</v>
      </c>
      <c r="AU45" s="40" t="s">
        <v>162</v>
      </c>
      <c r="AV45" s="40" t="s">
        <v>161</v>
      </c>
      <c r="AW45" s="40" t="s">
        <v>162</v>
      </c>
      <c r="AX45" s="40" t="s">
        <v>161</v>
      </c>
      <c r="AY45" s="40" t="s">
        <v>162</v>
      </c>
      <c r="AZ45" s="40" t="s">
        <v>161</v>
      </c>
      <c r="BA45" s="40" t="s">
        <v>162</v>
      </c>
      <c r="BB45" s="40" t="s">
        <v>161</v>
      </c>
      <c r="BC45" s="40" t="s">
        <v>162</v>
      </c>
      <c r="BD45" s="40" t="s">
        <v>161</v>
      </c>
      <c r="BE45" s="40" t="s">
        <v>162</v>
      </c>
      <c r="BF45" s="40" t="s">
        <v>161</v>
      </c>
      <c r="BG45" s="40" t="s">
        <v>162</v>
      </c>
      <c r="BH45" s="40" t="s">
        <v>161</v>
      </c>
      <c r="BI45" s="40" t="s">
        <v>162</v>
      </c>
      <c r="BJ45" s="40" t="s">
        <v>161</v>
      </c>
      <c r="BK45" s="40" t="s">
        <v>162</v>
      </c>
      <c r="BL45" s="40" t="s">
        <v>161</v>
      </c>
      <c r="BM45" s="40" t="s">
        <v>162</v>
      </c>
      <c r="BN45" s="40" t="s">
        <v>161</v>
      </c>
      <c r="BO45" s="40" t="s">
        <v>162</v>
      </c>
      <c r="BP45" s="40" t="s">
        <v>161</v>
      </c>
      <c r="BQ45" s="40" t="s">
        <v>162</v>
      </c>
    </row>
    <row r="46" spans="1:69" x14ac:dyDescent="0.25">
      <c r="A46" s="41" t="s">
        <v>67</v>
      </c>
      <c r="B46" s="41"/>
      <c r="C46" s="41"/>
      <c r="D46" s="41">
        <v>1980</v>
      </c>
      <c r="E46" s="41">
        <v>3889</v>
      </c>
      <c r="F46" s="41"/>
      <c r="G46" s="41"/>
      <c r="H46" s="41">
        <v>32382</v>
      </c>
      <c r="I46" s="41">
        <v>88919</v>
      </c>
      <c r="J46" s="70">
        <v>77302</v>
      </c>
      <c r="K46" s="68">
        <v>233740</v>
      </c>
      <c r="L46" s="41">
        <v>4205</v>
      </c>
      <c r="M46" s="41">
        <v>10172</v>
      </c>
      <c r="N46" s="41">
        <v>3675</v>
      </c>
      <c r="O46" s="41">
        <v>62433</v>
      </c>
      <c r="P46" s="41">
        <v>8375</v>
      </c>
      <c r="Q46" s="41">
        <v>29277</v>
      </c>
      <c r="R46" s="41">
        <v>12442</v>
      </c>
      <c r="S46" s="41">
        <v>19282</v>
      </c>
      <c r="T46" s="41"/>
      <c r="U46" s="41"/>
      <c r="V46" s="41"/>
      <c r="W46" s="41"/>
      <c r="X46" s="41">
        <v>17454</v>
      </c>
      <c r="Y46" s="41">
        <v>103920</v>
      </c>
      <c r="Z46" s="41"/>
      <c r="AA46" s="41"/>
      <c r="AB46" s="41">
        <v>210560</v>
      </c>
      <c r="AC46" s="41">
        <v>838608</v>
      </c>
      <c r="AD46" s="41">
        <v>133935</v>
      </c>
      <c r="AE46" s="41">
        <v>460996</v>
      </c>
      <c r="AF46" s="41">
        <v>49643</v>
      </c>
      <c r="AG46" s="41">
        <v>77021</v>
      </c>
      <c r="AH46" s="41">
        <v>27</v>
      </c>
      <c r="AI46" s="41">
        <v>96</v>
      </c>
      <c r="AJ46" s="41">
        <v>6820</v>
      </c>
      <c r="AK46" s="41">
        <v>16411</v>
      </c>
      <c r="AL46" s="41">
        <v>1810</v>
      </c>
      <c r="AM46" s="41">
        <v>4539</v>
      </c>
      <c r="AN46" s="41">
        <v>6557</v>
      </c>
      <c r="AO46" s="41">
        <v>14229</v>
      </c>
      <c r="AP46" s="41">
        <v>58944.830999999991</v>
      </c>
      <c r="AQ46" s="41">
        <v>157540.07999999999</v>
      </c>
      <c r="AR46" s="41">
        <v>106019</v>
      </c>
      <c r="AS46" s="41">
        <v>339406</v>
      </c>
      <c r="AT46" s="41">
        <v>33655</v>
      </c>
      <c r="AU46" s="41">
        <v>118783</v>
      </c>
      <c r="AV46" s="41">
        <v>18</v>
      </c>
      <c r="AW46" s="41">
        <v>85</v>
      </c>
      <c r="AX46" s="41">
        <v>5930</v>
      </c>
      <c r="AY46" s="41">
        <v>21807</v>
      </c>
      <c r="AZ46" s="41">
        <v>55854</v>
      </c>
      <c r="BA46" s="41">
        <v>152834</v>
      </c>
      <c r="BB46" s="41">
        <v>13709</v>
      </c>
      <c r="BC46" s="41">
        <v>48982</v>
      </c>
      <c r="BD46" s="41">
        <v>185597</v>
      </c>
      <c r="BE46" s="41">
        <v>481564</v>
      </c>
      <c r="BF46" s="41">
        <v>1359</v>
      </c>
      <c r="BG46" s="41">
        <v>5583</v>
      </c>
      <c r="BH46" s="41"/>
      <c r="BI46" s="41"/>
      <c r="BJ46" s="41">
        <v>43762</v>
      </c>
      <c r="BK46" s="41">
        <v>139124</v>
      </c>
      <c r="BL46" s="41">
        <v>53517</v>
      </c>
      <c r="BM46" s="41">
        <v>210837</v>
      </c>
      <c r="BN46" s="41">
        <v>2202</v>
      </c>
      <c r="BO46" s="41">
        <v>20974</v>
      </c>
      <c r="BP46" s="41">
        <f t="shared" ref="BP46:BQ49" si="5">B46+D46+F46+H46+J46+L46+N46+P46+R46+T46+V46+X46+Z46+AB46+AD46+AF46+AH46+AJ46+AL46+AN46+AP46+AR46+AT46+AV46+AX46+AZ46+BB46+BD46+BF46+BH46+BJ46+BL46+BN46</f>
        <v>1127733.831</v>
      </c>
      <c r="BQ46" s="41">
        <f t="shared" si="5"/>
        <v>3661051.08</v>
      </c>
    </row>
    <row r="47" spans="1:69" x14ac:dyDescent="0.25">
      <c r="A47" s="41" t="s">
        <v>68</v>
      </c>
      <c r="B47" s="41"/>
      <c r="C47" s="41"/>
      <c r="D47" s="41"/>
      <c r="E47" s="41"/>
      <c r="F47" s="41"/>
      <c r="G47" s="41"/>
      <c r="H47" s="41"/>
      <c r="I47" s="41"/>
      <c r="J47" s="68">
        <v>0</v>
      </c>
      <c r="K47" s="68">
        <v>0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>
        <v>903</v>
      </c>
      <c r="AE47" s="41">
        <v>1360</v>
      </c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>
        <v>0</v>
      </c>
      <c r="AQ47" s="41">
        <v>0</v>
      </c>
      <c r="AR47" s="41">
        <v>1696</v>
      </c>
      <c r="AS47" s="41">
        <v>9770</v>
      </c>
      <c r="AT47" s="41">
        <v>19</v>
      </c>
      <c r="AU47" s="41">
        <v>340</v>
      </c>
      <c r="AV47" s="41"/>
      <c r="AW47" s="41"/>
      <c r="AX47" s="41"/>
      <c r="AY47" s="41"/>
      <c r="AZ47" s="41"/>
      <c r="BA47" s="41"/>
      <c r="BB47" s="41">
        <v>171</v>
      </c>
      <c r="BC47" s="41">
        <v>2543</v>
      </c>
      <c r="BD47" s="41"/>
      <c r="BE47" s="41"/>
      <c r="BF47" s="41"/>
      <c r="BG47" s="41"/>
      <c r="BH47" s="41"/>
      <c r="BI47" s="41"/>
      <c r="BJ47" s="41"/>
      <c r="BK47" s="41"/>
      <c r="BL47" s="41">
        <v>0</v>
      </c>
      <c r="BM47" s="41">
        <v>21</v>
      </c>
      <c r="BN47" s="41"/>
      <c r="BO47" s="41"/>
      <c r="BP47" s="41">
        <f t="shared" si="5"/>
        <v>2789</v>
      </c>
      <c r="BQ47" s="41">
        <f t="shared" si="5"/>
        <v>14034</v>
      </c>
    </row>
    <row r="48" spans="1:69" x14ac:dyDescent="0.25">
      <c r="A48" s="41" t="s">
        <v>69</v>
      </c>
      <c r="B48" s="41"/>
      <c r="C48" s="41"/>
      <c r="D48" s="41">
        <v>601</v>
      </c>
      <c r="E48" s="41">
        <v>802</v>
      </c>
      <c r="F48" s="41"/>
      <c r="G48" s="41"/>
      <c r="H48" s="41">
        <v>17665</v>
      </c>
      <c r="I48" s="41">
        <v>61642</v>
      </c>
      <c r="J48" s="70">
        <v>4392</v>
      </c>
      <c r="K48" s="70">
        <v>20395</v>
      </c>
      <c r="L48" s="41">
        <v>203</v>
      </c>
      <c r="M48" s="41">
        <v>1074</v>
      </c>
      <c r="N48" s="41">
        <v>8180</v>
      </c>
      <c r="O48" s="41">
        <v>34538</v>
      </c>
      <c r="P48" s="41">
        <v>1259</v>
      </c>
      <c r="Q48" s="41">
        <v>2523</v>
      </c>
      <c r="R48" s="41">
        <v>23057</v>
      </c>
      <c r="S48" s="41">
        <v>35740</v>
      </c>
      <c r="T48" s="41"/>
      <c r="U48" s="41"/>
      <c r="V48" s="41"/>
      <c r="W48" s="41"/>
      <c r="X48" s="41">
        <v>2722</v>
      </c>
      <c r="Y48" s="41">
        <v>11712</v>
      </c>
      <c r="Z48" s="41"/>
      <c r="AA48" s="41"/>
      <c r="AB48" s="41">
        <v>-228873</v>
      </c>
      <c r="AC48" s="41">
        <v>-928371</v>
      </c>
      <c r="AD48" s="41">
        <v>259409</v>
      </c>
      <c r="AE48" s="41">
        <v>887402</v>
      </c>
      <c r="AF48" s="41">
        <v>6081</v>
      </c>
      <c r="AG48" s="41">
        <v>13323</v>
      </c>
      <c r="AH48" s="41">
        <v>2678</v>
      </c>
      <c r="AI48" s="41">
        <v>23200</v>
      </c>
      <c r="AJ48" s="41">
        <v>549</v>
      </c>
      <c r="AK48" s="41">
        <v>1111</v>
      </c>
      <c r="AL48" s="41">
        <v>-300</v>
      </c>
      <c r="AM48" s="41">
        <v>-561</v>
      </c>
      <c r="AN48" s="41">
        <v>3079</v>
      </c>
      <c r="AO48" s="41">
        <v>7560</v>
      </c>
      <c r="AP48" s="41">
        <v>0</v>
      </c>
      <c r="AQ48" s="41">
        <v>0</v>
      </c>
      <c r="AR48" s="41">
        <v>13664</v>
      </c>
      <c r="AS48" s="41">
        <v>39534</v>
      </c>
      <c r="AT48" s="41">
        <v>56398</v>
      </c>
      <c r="AU48" s="41">
        <v>83710</v>
      </c>
      <c r="AV48" s="41">
        <v>26</v>
      </c>
      <c r="AW48" s="41">
        <v>196</v>
      </c>
      <c r="AX48" s="41">
        <v>1291</v>
      </c>
      <c r="AY48" s="41">
        <v>-2976</v>
      </c>
      <c r="AZ48" s="41">
        <v>32442</v>
      </c>
      <c r="BA48" s="41">
        <v>143953</v>
      </c>
      <c r="BB48" s="41">
        <v>-4310</v>
      </c>
      <c r="BC48" s="41">
        <v>-22531</v>
      </c>
      <c r="BD48" s="41">
        <v>14432</v>
      </c>
      <c r="BE48" s="41">
        <v>38424</v>
      </c>
      <c r="BF48" s="41">
        <v>7519</v>
      </c>
      <c r="BG48" s="41">
        <v>30004</v>
      </c>
      <c r="BH48" s="41"/>
      <c r="BI48" s="41"/>
      <c r="BJ48" s="41">
        <v>104107</v>
      </c>
      <c r="BK48" s="41">
        <v>305878</v>
      </c>
      <c r="BL48" s="41">
        <v>24129</v>
      </c>
      <c r="BM48" s="41">
        <v>96002</v>
      </c>
      <c r="BN48" s="41">
        <v>1552</v>
      </c>
      <c r="BO48" s="41">
        <v>13554</v>
      </c>
      <c r="BP48" s="41">
        <f t="shared" si="5"/>
        <v>351952</v>
      </c>
      <c r="BQ48" s="41">
        <f t="shared" si="5"/>
        <v>897838</v>
      </c>
    </row>
    <row r="49" spans="1:69" x14ac:dyDescent="0.25">
      <c r="A49" s="41" t="s">
        <v>70</v>
      </c>
      <c r="B49" s="41"/>
      <c r="C49" s="41"/>
      <c r="D49" s="41">
        <v>1379</v>
      </c>
      <c r="E49" s="41">
        <v>3087</v>
      </c>
      <c r="F49" s="41"/>
      <c r="G49" s="41"/>
      <c r="H49" s="41">
        <v>14717</v>
      </c>
      <c r="I49" s="41">
        <v>27277</v>
      </c>
      <c r="J49" s="70">
        <v>72910</v>
      </c>
      <c r="K49" s="68">
        <v>213345</v>
      </c>
      <c r="L49" s="41">
        <v>4002</v>
      </c>
      <c r="M49" s="41">
        <v>9098</v>
      </c>
      <c r="N49" s="41">
        <v>-4505</v>
      </c>
      <c r="O49" s="41">
        <v>27895</v>
      </c>
      <c r="P49" s="41">
        <v>7116</v>
      </c>
      <c r="Q49" s="41">
        <v>26754</v>
      </c>
      <c r="R49" s="41">
        <f>R46-R48</f>
        <v>-10615</v>
      </c>
      <c r="S49" s="41">
        <f>S46-S48</f>
        <v>-16458</v>
      </c>
      <c r="T49" s="41"/>
      <c r="U49" s="41"/>
      <c r="V49" s="41"/>
      <c r="W49" s="41"/>
      <c r="X49" s="41">
        <v>14732</v>
      </c>
      <c r="Y49" s="41">
        <v>92208</v>
      </c>
      <c r="Z49" s="41"/>
      <c r="AA49" s="41"/>
      <c r="AB49" s="41">
        <v>-18313</v>
      </c>
      <c r="AC49" s="41">
        <v>-89763</v>
      </c>
      <c r="AD49" s="41">
        <v>-124571</v>
      </c>
      <c r="AE49" s="41">
        <v>-425046</v>
      </c>
      <c r="AF49" s="41">
        <v>43562</v>
      </c>
      <c r="AG49" s="41">
        <v>63698</v>
      </c>
      <c r="AH49" s="41">
        <v>-2651</v>
      </c>
      <c r="AI49" s="41">
        <v>-23104</v>
      </c>
      <c r="AJ49" s="41">
        <v>6271</v>
      </c>
      <c r="AK49" s="41">
        <v>15299</v>
      </c>
      <c r="AL49" s="41">
        <v>1510</v>
      </c>
      <c r="AM49" s="41">
        <v>3978</v>
      </c>
      <c r="AN49" s="41">
        <v>3478</v>
      </c>
      <c r="AO49" s="41">
        <v>6669</v>
      </c>
      <c r="AP49" s="41">
        <v>58944.830999999991</v>
      </c>
      <c r="AQ49" s="41">
        <v>157540.07999999999</v>
      </c>
      <c r="AR49" s="41">
        <v>94050</v>
      </c>
      <c r="AS49" s="41">
        <v>309642</v>
      </c>
      <c r="AT49" s="41">
        <v>-22724</v>
      </c>
      <c r="AU49" s="41">
        <v>35413</v>
      </c>
      <c r="AV49" s="41">
        <v>-8</v>
      </c>
      <c r="AW49" s="41">
        <v>-111</v>
      </c>
      <c r="AX49" s="41">
        <v>4639</v>
      </c>
      <c r="AY49" s="41">
        <v>24783</v>
      </c>
      <c r="AZ49" s="41">
        <v>23412</v>
      </c>
      <c r="BA49" s="41">
        <v>8881</v>
      </c>
      <c r="BB49" s="41">
        <v>9570</v>
      </c>
      <c r="BC49" s="41">
        <v>28994</v>
      </c>
      <c r="BD49" s="41">
        <v>171165</v>
      </c>
      <c r="BE49" s="41">
        <v>443140</v>
      </c>
      <c r="BF49" s="41">
        <v>-6160</v>
      </c>
      <c r="BG49" s="41">
        <v>-24421</v>
      </c>
      <c r="BH49" s="41"/>
      <c r="BI49" s="41"/>
      <c r="BJ49" s="41">
        <v>-60345</v>
      </c>
      <c r="BK49" s="41">
        <v>-166754</v>
      </c>
      <c r="BL49" s="41">
        <v>29388</v>
      </c>
      <c r="BM49" s="41">
        <v>114856</v>
      </c>
      <c r="BN49" s="41">
        <v>650</v>
      </c>
      <c r="BO49" s="41">
        <v>7420</v>
      </c>
      <c r="BP49" s="41">
        <f t="shared" si="5"/>
        <v>311603.83100000001</v>
      </c>
      <c r="BQ49" s="41">
        <f t="shared" si="5"/>
        <v>874320.08</v>
      </c>
    </row>
    <row r="51" spans="1:69" x14ac:dyDescent="0.25">
      <c r="A51" s="10" t="s">
        <v>137</v>
      </c>
    </row>
    <row r="52" spans="1:69" s="12" customFormat="1" x14ac:dyDescent="0.25">
      <c r="A52" s="20" t="s">
        <v>0</v>
      </c>
      <c r="B52" s="160" t="s">
        <v>1</v>
      </c>
      <c r="C52" s="160"/>
      <c r="D52" s="160" t="s">
        <v>2</v>
      </c>
      <c r="E52" s="160"/>
      <c r="F52" s="160" t="s">
        <v>3</v>
      </c>
      <c r="G52" s="160"/>
      <c r="H52" s="160" t="s">
        <v>4</v>
      </c>
      <c r="I52" s="160"/>
      <c r="J52" s="160" t="s">
        <v>5</v>
      </c>
      <c r="K52" s="160"/>
      <c r="L52" s="160" t="s">
        <v>6</v>
      </c>
      <c r="M52" s="160"/>
      <c r="N52" s="160" t="s">
        <v>7</v>
      </c>
      <c r="O52" s="160"/>
      <c r="P52" s="160" t="s">
        <v>8</v>
      </c>
      <c r="Q52" s="160"/>
      <c r="R52" s="160" t="s">
        <v>9</v>
      </c>
      <c r="S52" s="160"/>
      <c r="T52" s="160" t="s">
        <v>10</v>
      </c>
      <c r="U52" s="160"/>
      <c r="V52" s="160" t="s">
        <v>11</v>
      </c>
      <c r="W52" s="160"/>
      <c r="X52" s="160" t="s">
        <v>12</v>
      </c>
      <c r="Y52" s="160"/>
      <c r="Z52" s="160" t="s">
        <v>13</v>
      </c>
      <c r="AA52" s="160"/>
      <c r="AB52" s="160" t="s">
        <v>14</v>
      </c>
      <c r="AC52" s="160"/>
      <c r="AD52" s="160" t="s">
        <v>15</v>
      </c>
      <c r="AE52" s="160"/>
      <c r="AF52" s="160" t="s">
        <v>16</v>
      </c>
      <c r="AG52" s="160"/>
      <c r="AH52" s="160" t="s">
        <v>17</v>
      </c>
      <c r="AI52" s="160"/>
      <c r="AJ52" s="160" t="s">
        <v>18</v>
      </c>
      <c r="AK52" s="160"/>
      <c r="AL52" s="160" t="s">
        <v>19</v>
      </c>
      <c r="AM52" s="160"/>
      <c r="AN52" s="160" t="s">
        <v>20</v>
      </c>
      <c r="AO52" s="160"/>
      <c r="AP52" s="160" t="s">
        <v>21</v>
      </c>
      <c r="AQ52" s="160"/>
      <c r="AR52" s="160" t="s">
        <v>109</v>
      </c>
      <c r="AS52" s="160"/>
      <c r="AT52" s="160" t="s">
        <v>110</v>
      </c>
      <c r="AU52" s="160"/>
      <c r="AV52" s="160" t="s">
        <v>22</v>
      </c>
      <c r="AW52" s="160"/>
      <c r="AX52" s="160" t="s">
        <v>23</v>
      </c>
      <c r="AY52" s="160"/>
      <c r="AZ52" s="160" t="s">
        <v>24</v>
      </c>
      <c r="BA52" s="160"/>
      <c r="BB52" s="160" t="s">
        <v>25</v>
      </c>
      <c r="BC52" s="160"/>
      <c r="BD52" s="160" t="s">
        <v>26</v>
      </c>
      <c r="BE52" s="160"/>
      <c r="BF52" s="160" t="s">
        <v>27</v>
      </c>
      <c r="BG52" s="160"/>
      <c r="BH52" s="160" t="s">
        <v>28</v>
      </c>
      <c r="BI52" s="160"/>
      <c r="BJ52" s="160" t="s">
        <v>29</v>
      </c>
      <c r="BK52" s="160"/>
      <c r="BL52" s="160" t="s">
        <v>30</v>
      </c>
      <c r="BM52" s="160"/>
      <c r="BN52" s="160" t="s">
        <v>31</v>
      </c>
      <c r="BO52" s="160"/>
      <c r="BP52" s="160" t="s">
        <v>150</v>
      </c>
      <c r="BQ52" s="160"/>
    </row>
    <row r="53" spans="1:69" s="39" customFormat="1" ht="44.25" customHeight="1" x14ac:dyDescent="0.25">
      <c r="A53" s="40"/>
      <c r="B53" s="40" t="s">
        <v>161</v>
      </c>
      <c r="C53" s="40" t="s">
        <v>162</v>
      </c>
      <c r="D53" s="40" t="s">
        <v>161</v>
      </c>
      <c r="E53" s="40" t="s">
        <v>162</v>
      </c>
      <c r="F53" s="40" t="s">
        <v>161</v>
      </c>
      <c r="G53" s="40" t="s">
        <v>162</v>
      </c>
      <c r="H53" s="40" t="s">
        <v>161</v>
      </c>
      <c r="I53" s="40" t="s">
        <v>162</v>
      </c>
      <c r="J53" s="40" t="s">
        <v>161</v>
      </c>
      <c r="K53" s="40" t="s">
        <v>162</v>
      </c>
      <c r="L53" s="40" t="s">
        <v>161</v>
      </c>
      <c r="M53" s="40" t="s">
        <v>162</v>
      </c>
      <c r="N53" s="40" t="s">
        <v>161</v>
      </c>
      <c r="O53" s="40" t="s">
        <v>162</v>
      </c>
      <c r="P53" s="40" t="s">
        <v>161</v>
      </c>
      <c r="Q53" s="40" t="s">
        <v>162</v>
      </c>
      <c r="R53" s="40" t="s">
        <v>161</v>
      </c>
      <c r="S53" s="40" t="s">
        <v>162</v>
      </c>
      <c r="T53" s="40" t="s">
        <v>161</v>
      </c>
      <c r="U53" s="40" t="s">
        <v>162</v>
      </c>
      <c r="V53" s="40" t="s">
        <v>161</v>
      </c>
      <c r="W53" s="40" t="s">
        <v>162</v>
      </c>
      <c r="X53" s="40" t="s">
        <v>161</v>
      </c>
      <c r="Y53" s="40" t="s">
        <v>162</v>
      </c>
      <c r="Z53" s="40" t="s">
        <v>161</v>
      </c>
      <c r="AA53" s="40" t="s">
        <v>162</v>
      </c>
      <c r="AB53" s="40" t="s">
        <v>161</v>
      </c>
      <c r="AC53" s="40" t="s">
        <v>162</v>
      </c>
      <c r="AD53" s="40" t="s">
        <v>161</v>
      </c>
      <c r="AE53" s="40" t="s">
        <v>162</v>
      </c>
      <c r="AF53" s="40" t="s">
        <v>161</v>
      </c>
      <c r="AG53" s="40" t="s">
        <v>162</v>
      </c>
      <c r="AH53" s="40" t="s">
        <v>161</v>
      </c>
      <c r="AI53" s="40" t="s">
        <v>162</v>
      </c>
      <c r="AJ53" s="40" t="s">
        <v>161</v>
      </c>
      <c r="AK53" s="40" t="s">
        <v>162</v>
      </c>
      <c r="AL53" s="40" t="s">
        <v>161</v>
      </c>
      <c r="AM53" s="40" t="s">
        <v>162</v>
      </c>
      <c r="AN53" s="40" t="s">
        <v>161</v>
      </c>
      <c r="AO53" s="40" t="s">
        <v>162</v>
      </c>
      <c r="AP53" s="40" t="s">
        <v>161</v>
      </c>
      <c r="AQ53" s="40" t="s">
        <v>162</v>
      </c>
      <c r="AR53" s="40" t="s">
        <v>161</v>
      </c>
      <c r="AS53" s="40" t="s">
        <v>162</v>
      </c>
      <c r="AT53" s="40" t="s">
        <v>161</v>
      </c>
      <c r="AU53" s="40" t="s">
        <v>162</v>
      </c>
      <c r="AV53" s="40" t="s">
        <v>161</v>
      </c>
      <c r="AW53" s="40" t="s">
        <v>162</v>
      </c>
      <c r="AX53" s="40" t="s">
        <v>161</v>
      </c>
      <c r="AY53" s="40" t="s">
        <v>162</v>
      </c>
      <c r="AZ53" s="40" t="s">
        <v>161</v>
      </c>
      <c r="BA53" s="40" t="s">
        <v>162</v>
      </c>
      <c r="BB53" s="40" t="s">
        <v>161</v>
      </c>
      <c r="BC53" s="40" t="s">
        <v>162</v>
      </c>
      <c r="BD53" s="40" t="s">
        <v>161</v>
      </c>
      <c r="BE53" s="40" t="s">
        <v>162</v>
      </c>
      <c r="BF53" s="40" t="s">
        <v>161</v>
      </c>
      <c r="BG53" s="40" t="s">
        <v>162</v>
      </c>
      <c r="BH53" s="40" t="s">
        <v>161</v>
      </c>
      <c r="BI53" s="40" t="s">
        <v>162</v>
      </c>
      <c r="BJ53" s="40" t="s">
        <v>161</v>
      </c>
      <c r="BK53" s="40" t="s">
        <v>162</v>
      </c>
      <c r="BL53" s="40" t="s">
        <v>161</v>
      </c>
      <c r="BM53" s="40" t="s">
        <v>162</v>
      </c>
      <c r="BN53" s="40" t="s">
        <v>161</v>
      </c>
      <c r="BO53" s="40" t="s">
        <v>162</v>
      </c>
      <c r="BP53" s="40" t="s">
        <v>161</v>
      </c>
      <c r="BQ53" s="40" t="s">
        <v>162</v>
      </c>
    </row>
    <row r="54" spans="1:69" x14ac:dyDescent="0.25">
      <c r="A54" s="41" t="s">
        <v>67</v>
      </c>
      <c r="B54" s="41"/>
      <c r="C54" s="41"/>
      <c r="D54" s="41"/>
      <c r="E54" s="41"/>
      <c r="F54" s="41"/>
      <c r="G54" s="41"/>
      <c r="H54" s="41"/>
      <c r="I54" s="41"/>
      <c r="J54" s="70">
        <v>12016</v>
      </c>
      <c r="K54" s="70">
        <v>38169</v>
      </c>
      <c r="L54" s="41">
        <v>13211</v>
      </c>
      <c r="M54" s="41">
        <v>26034</v>
      </c>
      <c r="N54" s="41">
        <v>1437</v>
      </c>
      <c r="O54" s="41">
        <v>4371</v>
      </c>
      <c r="P54" s="41"/>
      <c r="Q54" s="41"/>
      <c r="R54" s="41"/>
      <c r="S54" s="41"/>
      <c r="T54" s="41">
        <v>155</v>
      </c>
      <c r="U54" s="41">
        <v>155</v>
      </c>
      <c r="V54" s="41"/>
      <c r="W54" s="41"/>
      <c r="X54" s="41">
        <v>7047</v>
      </c>
      <c r="Y54" s="41">
        <v>20231</v>
      </c>
      <c r="Z54" s="41"/>
      <c r="AA54" s="41"/>
      <c r="AB54" s="41">
        <f>808+2932+18785</f>
        <v>22525</v>
      </c>
      <c r="AC54" s="41">
        <f>2105+3609+48223</f>
        <v>53937</v>
      </c>
      <c r="AD54" s="41">
        <v>3581</v>
      </c>
      <c r="AE54" s="41">
        <v>13393</v>
      </c>
      <c r="AF54" s="41">
        <v>13299</v>
      </c>
      <c r="AG54" s="41">
        <v>30339</v>
      </c>
      <c r="AH54" s="41"/>
      <c r="AI54" s="41"/>
      <c r="AJ54" s="41">
        <v>2065</v>
      </c>
      <c r="AK54" s="41">
        <v>5170</v>
      </c>
      <c r="AL54" s="41">
        <f>7208+10</f>
        <v>7218</v>
      </c>
      <c r="AM54" s="41">
        <f>10895+109</f>
        <v>11004</v>
      </c>
      <c r="AN54" s="41"/>
      <c r="AO54" s="41"/>
      <c r="AP54" s="41">
        <v>2900565.2089999998</v>
      </c>
      <c r="AQ54" s="41">
        <v>25156.292999999998</v>
      </c>
      <c r="AR54" s="41">
        <v>292451</v>
      </c>
      <c r="AS54" s="41">
        <v>763966</v>
      </c>
      <c r="AT54" s="41">
        <v>22163</v>
      </c>
      <c r="AU54" s="41">
        <v>71993</v>
      </c>
      <c r="AV54" s="41">
        <f>8950+1822</f>
        <v>10772</v>
      </c>
      <c r="AW54" s="41">
        <f>31350+6141</f>
        <v>37491</v>
      </c>
      <c r="AX54" s="41">
        <v>6474</v>
      </c>
      <c r="AY54" s="41">
        <v>18896</v>
      </c>
      <c r="AZ54" s="41"/>
      <c r="BA54" s="41"/>
      <c r="BB54" s="41">
        <v>1849</v>
      </c>
      <c r="BC54" s="41">
        <v>5981</v>
      </c>
      <c r="BD54" s="41">
        <v>2550</v>
      </c>
      <c r="BE54" s="41">
        <v>7780</v>
      </c>
      <c r="BF54" s="41">
        <v>133</v>
      </c>
      <c r="BG54" s="41">
        <v>538</v>
      </c>
      <c r="BH54" s="41"/>
      <c r="BI54" s="41"/>
      <c r="BJ54" s="41">
        <v>73141</v>
      </c>
      <c r="BK54" s="41">
        <v>336907</v>
      </c>
      <c r="BL54" s="41">
        <v>27847</v>
      </c>
      <c r="BM54" s="41">
        <v>93098</v>
      </c>
      <c r="BN54" s="41">
        <v>72</v>
      </c>
      <c r="BO54" s="41">
        <v>317</v>
      </c>
      <c r="BP54" s="41">
        <f t="shared" ref="BP54:BQ57" si="6">B54+D54+F54+H54+J54+L54+N54+P54+R54+T54+V54+X54+Z54+AB54+AD54+AF54+AH54+AJ54+AL54+AN54+AP54+AR54+AT54+AV54+AX54+AZ54+BB54+BD54+BF54+BH54+BJ54+BL54+BN54</f>
        <v>3420571.2089999998</v>
      </c>
      <c r="BQ54" s="41">
        <f t="shared" si="6"/>
        <v>1564926.2930000001</v>
      </c>
    </row>
    <row r="55" spans="1:69" x14ac:dyDescent="0.25">
      <c r="A55" s="41" t="s">
        <v>68</v>
      </c>
      <c r="B55" s="41"/>
      <c r="C55" s="41"/>
      <c r="D55" s="41"/>
      <c r="E55" s="41"/>
      <c r="F55" s="41"/>
      <c r="G55" s="41"/>
      <c r="H55" s="41"/>
      <c r="I55" s="41"/>
      <c r="J55" s="68">
        <v>0</v>
      </c>
      <c r="K55" s="68">
        <v>0</v>
      </c>
      <c r="L55" s="41">
        <v>68</v>
      </c>
      <c r="M55" s="41">
        <v>850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>
        <v>-29</v>
      </c>
      <c r="Y55" s="41">
        <v>425</v>
      </c>
      <c r="Z55" s="41"/>
      <c r="AA55" s="41"/>
      <c r="AB55" s="41">
        <v>15</v>
      </c>
      <c r="AC55" s="41">
        <v>4735</v>
      </c>
      <c r="AD55" s="41"/>
      <c r="AE55" s="41">
        <v>608</v>
      </c>
      <c r="AF55" s="41">
        <v>516</v>
      </c>
      <c r="AG55" s="41">
        <v>1602</v>
      </c>
      <c r="AH55" s="41"/>
      <c r="AI55" s="41"/>
      <c r="AJ55" s="41"/>
      <c r="AK55" s="41"/>
      <c r="AL55" s="41"/>
      <c r="AM55" s="41"/>
      <c r="AN55" s="41"/>
      <c r="AO55" s="41"/>
      <c r="AP55" s="41">
        <v>0</v>
      </c>
      <c r="AQ55" s="41">
        <v>1.9999999999988916E-3</v>
      </c>
      <c r="AR55" s="41">
        <v>152</v>
      </c>
      <c r="AS55" s="41">
        <v>752</v>
      </c>
      <c r="AT55" s="41">
        <v>59</v>
      </c>
      <c r="AU55" s="41">
        <v>233</v>
      </c>
      <c r="AV55" s="41">
        <f>5186+443</f>
        <v>5629</v>
      </c>
      <c r="AW55" s="41">
        <f>14673+1723</f>
        <v>16396</v>
      </c>
      <c r="AX55" s="41">
        <v>33</v>
      </c>
      <c r="AY55" s="41">
        <v>33</v>
      </c>
      <c r="AZ55" s="41"/>
      <c r="BA55" s="41"/>
      <c r="BB55" s="41"/>
      <c r="BC55" s="41"/>
      <c r="BD55" s="41">
        <v>243</v>
      </c>
      <c r="BE55" s="41">
        <v>662</v>
      </c>
      <c r="BF55" s="41"/>
      <c r="BG55" s="41"/>
      <c r="BH55" s="41"/>
      <c r="BI55" s="41"/>
      <c r="BJ55" s="41">
        <v>7858</v>
      </c>
      <c r="BK55" s="41">
        <v>49670</v>
      </c>
      <c r="BL55" s="41">
        <v>1</v>
      </c>
      <c r="BM55" s="41">
        <v>546</v>
      </c>
      <c r="BN55" s="41"/>
      <c r="BO55" s="41"/>
      <c r="BP55" s="41">
        <f t="shared" si="6"/>
        <v>14545</v>
      </c>
      <c r="BQ55" s="41">
        <f t="shared" si="6"/>
        <v>76512.002000000008</v>
      </c>
    </row>
    <row r="56" spans="1:69" x14ac:dyDescent="0.25">
      <c r="A56" s="41" t="s">
        <v>69</v>
      </c>
      <c r="B56" s="41"/>
      <c r="C56" s="41"/>
      <c r="D56" s="41"/>
      <c r="E56" s="41"/>
      <c r="F56" s="41"/>
      <c r="G56" s="41"/>
      <c r="H56" s="41"/>
      <c r="I56" s="41"/>
      <c r="J56" s="70">
        <v>6614</v>
      </c>
      <c r="K56" s="70">
        <v>23786</v>
      </c>
      <c r="L56" s="41">
        <v>5844</v>
      </c>
      <c r="M56" s="41">
        <v>15467</v>
      </c>
      <c r="N56" s="41">
        <v>515</v>
      </c>
      <c r="O56" s="41">
        <v>2800</v>
      </c>
      <c r="P56" s="41"/>
      <c r="Q56" s="41"/>
      <c r="R56" s="41"/>
      <c r="S56" s="41"/>
      <c r="T56" s="41">
        <v>246</v>
      </c>
      <c r="U56" s="41">
        <v>246</v>
      </c>
      <c r="V56" s="41"/>
      <c r="W56" s="41"/>
      <c r="X56" s="41">
        <v>7554</v>
      </c>
      <c r="Y56" s="41">
        <v>26509</v>
      </c>
      <c r="Z56" s="41"/>
      <c r="AA56" s="41"/>
      <c r="AB56" s="41">
        <f>-126+-1788+-7026</f>
        <v>-8940</v>
      </c>
      <c r="AC56" s="41">
        <f>-348+-1914+-21158</f>
        <v>-23420</v>
      </c>
      <c r="AD56" s="41">
        <v>2963</v>
      </c>
      <c r="AE56" s="41">
        <v>11506</v>
      </c>
      <c r="AF56" s="41">
        <v>1959</v>
      </c>
      <c r="AG56" s="41">
        <v>9761</v>
      </c>
      <c r="AH56" s="41"/>
      <c r="AI56" s="41"/>
      <c r="AJ56" s="41">
        <v>351</v>
      </c>
      <c r="AK56" s="41">
        <v>565</v>
      </c>
      <c r="AL56" s="41">
        <f>-20930+-1</f>
        <v>-20931</v>
      </c>
      <c r="AM56" s="41">
        <f>-29411+28</f>
        <v>-29383</v>
      </c>
      <c r="AN56" s="41"/>
      <c r="AO56" s="41"/>
      <c r="AP56" s="41">
        <v>1566358.487</v>
      </c>
      <c r="AQ56" s="41">
        <v>1.829</v>
      </c>
      <c r="AR56" s="41">
        <v>91921</v>
      </c>
      <c r="AS56" s="41">
        <v>180374</v>
      </c>
      <c r="AT56" s="41">
        <v>1738</v>
      </c>
      <c r="AU56" s="41">
        <v>5744</v>
      </c>
      <c r="AV56" s="41">
        <f>1232+96</f>
        <v>1328</v>
      </c>
      <c r="AW56" s="41">
        <f>4480+301</f>
        <v>4781</v>
      </c>
      <c r="AX56" s="41">
        <v>-3705</v>
      </c>
      <c r="AY56" s="41">
        <v>10189</v>
      </c>
      <c r="AZ56" s="41"/>
      <c r="BA56" s="41"/>
      <c r="BB56" s="41">
        <v>-2364</v>
      </c>
      <c r="BC56" s="41">
        <v>-8843</v>
      </c>
      <c r="BD56" s="41">
        <v>4557</v>
      </c>
      <c r="BE56" s="41">
        <v>16574</v>
      </c>
      <c r="BF56" s="41">
        <v>6</v>
      </c>
      <c r="BG56" s="41">
        <v>56</v>
      </c>
      <c r="BH56" s="41"/>
      <c r="BI56" s="41"/>
      <c r="BJ56" s="41">
        <v>11030</v>
      </c>
      <c r="BK56" s="41">
        <v>49131</v>
      </c>
      <c r="BL56" s="41">
        <v>2347</v>
      </c>
      <c r="BM56" s="41">
        <v>7855</v>
      </c>
      <c r="BN56" s="41">
        <v>14</v>
      </c>
      <c r="BO56" s="41">
        <v>48</v>
      </c>
      <c r="BP56" s="41">
        <f t="shared" si="6"/>
        <v>1669405.487</v>
      </c>
      <c r="BQ56" s="41">
        <f t="shared" si="6"/>
        <v>303747.82900000003</v>
      </c>
    </row>
    <row r="57" spans="1:69" x14ac:dyDescent="0.25">
      <c r="A57" s="41" t="s">
        <v>70</v>
      </c>
      <c r="B57" s="41"/>
      <c r="C57" s="41"/>
      <c r="D57" s="41"/>
      <c r="E57" s="41"/>
      <c r="F57" s="41"/>
      <c r="G57" s="41"/>
      <c r="H57" s="41"/>
      <c r="I57" s="41"/>
      <c r="J57" s="70">
        <v>5402</v>
      </c>
      <c r="K57" s="70">
        <v>14383</v>
      </c>
      <c r="L57" s="41">
        <v>7436</v>
      </c>
      <c r="M57" s="41">
        <v>11417</v>
      </c>
      <c r="N57" s="41">
        <v>922</v>
      </c>
      <c r="O57" s="41">
        <v>1571</v>
      </c>
      <c r="P57" s="41"/>
      <c r="Q57" s="41"/>
      <c r="R57" s="41"/>
      <c r="S57" s="41"/>
      <c r="T57" s="41">
        <v>-91</v>
      </c>
      <c r="U57" s="41">
        <v>-91</v>
      </c>
      <c r="V57" s="41"/>
      <c r="W57" s="41"/>
      <c r="X57" s="41">
        <v>-536</v>
      </c>
      <c r="Y57" s="41">
        <v>-5853</v>
      </c>
      <c r="Z57" s="41"/>
      <c r="AA57" s="41"/>
      <c r="AB57" s="41">
        <f>683+1144+11773</f>
        <v>13600</v>
      </c>
      <c r="AC57" s="41">
        <f>1757+1695+31800</f>
        <v>35252</v>
      </c>
      <c r="AD57" s="41">
        <v>618</v>
      </c>
      <c r="AE57" s="41">
        <v>2495</v>
      </c>
      <c r="AF57" s="41">
        <v>11856</v>
      </c>
      <c r="AG57" s="41">
        <v>22180</v>
      </c>
      <c r="AH57" s="41"/>
      <c r="AI57" s="41"/>
      <c r="AJ57" s="41">
        <v>1714</v>
      </c>
      <c r="AK57" s="41">
        <v>4605</v>
      </c>
      <c r="AL57" s="41">
        <f>-13722+9</f>
        <v>-13713</v>
      </c>
      <c r="AM57" s="41">
        <f>-18516+137</f>
        <v>-18379</v>
      </c>
      <c r="AN57" s="41"/>
      <c r="AO57" s="41"/>
      <c r="AP57" s="41">
        <v>1334206.7219999998</v>
      </c>
      <c r="AQ57" s="41">
        <v>25154.465999999997</v>
      </c>
      <c r="AR57" s="41">
        <v>200682</v>
      </c>
      <c r="AS57" s="41">
        <v>584344</v>
      </c>
      <c r="AT57" s="41">
        <v>20484</v>
      </c>
      <c r="AU57" s="41">
        <v>66482</v>
      </c>
      <c r="AV57" s="41">
        <f>12904+2169</f>
        <v>15073</v>
      </c>
      <c r="AW57" s="41">
        <f>41544+7563</f>
        <v>49107</v>
      </c>
      <c r="AX57" s="41">
        <v>10212</v>
      </c>
      <c r="AY57" s="41">
        <v>8740</v>
      </c>
      <c r="AZ57" s="41"/>
      <c r="BA57" s="41"/>
      <c r="BB57" s="41">
        <v>-515</v>
      </c>
      <c r="BC57" s="41">
        <v>-2862</v>
      </c>
      <c r="BD57" s="41">
        <v>-1764</v>
      </c>
      <c r="BE57" s="41">
        <v>-8132</v>
      </c>
      <c r="BF57" s="41">
        <v>126</v>
      </c>
      <c r="BG57" s="41">
        <v>482</v>
      </c>
      <c r="BH57" s="41"/>
      <c r="BI57" s="41"/>
      <c r="BJ57" s="41">
        <v>69969</v>
      </c>
      <c r="BK57" s="41">
        <v>337446</v>
      </c>
      <c r="BL57" s="41">
        <v>25501</v>
      </c>
      <c r="BM57" s="41">
        <v>85789</v>
      </c>
      <c r="BN57" s="41">
        <v>58</v>
      </c>
      <c r="BO57" s="41">
        <v>269</v>
      </c>
      <c r="BP57" s="41">
        <f t="shared" si="6"/>
        <v>1701240.7219999998</v>
      </c>
      <c r="BQ57" s="41">
        <f t="shared" si="6"/>
        <v>1214399.466</v>
      </c>
    </row>
    <row r="58" spans="1:69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140"/>
      <c r="AY58" s="140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</row>
    <row r="59" spans="1:69" x14ac:dyDescent="0.25">
      <c r="A59" s="49" t="s">
        <v>151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140"/>
      <c r="AY59" s="140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</row>
    <row r="60" spans="1:69" s="12" customFormat="1" x14ac:dyDescent="0.25">
      <c r="A60" s="20" t="s">
        <v>0</v>
      </c>
      <c r="B60" s="160" t="s">
        <v>1</v>
      </c>
      <c r="C60" s="160"/>
      <c r="D60" s="160" t="s">
        <v>2</v>
      </c>
      <c r="E60" s="160"/>
      <c r="F60" s="160" t="s">
        <v>3</v>
      </c>
      <c r="G60" s="160"/>
      <c r="H60" s="160" t="s">
        <v>4</v>
      </c>
      <c r="I60" s="160"/>
      <c r="J60" s="160" t="s">
        <v>5</v>
      </c>
      <c r="K60" s="160"/>
      <c r="L60" s="160" t="s">
        <v>6</v>
      </c>
      <c r="M60" s="160"/>
      <c r="N60" s="160" t="s">
        <v>7</v>
      </c>
      <c r="O60" s="160"/>
      <c r="P60" s="160" t="s">
        <v>8</v>
      </c>
      <c r="Q60" s="160"/>
      <c r="R60" s="160" t="s">
        <v>9</v>
      </c>
      <c r="S60" s="160"/>
      <c r="T60" s="160" t="s">
        <v>10</v>
      </c>
      <c r="U60" s="160"/>
      <c r="V60" s="160" t="s">
        <v>11</v>
      </c>
      <c r="W60" s="160"/>
      <c r="X60" s="160" t="s">
        <v>12</v>
      </c>
      <c r="Y60" s="160"/>
      <c r="Z60" s="160" t="s">
        <v>13</v>
      </c>
      <c r="AA60" s="160"/>
      <c r="AB60" s="160" t="s">
        <v>14</v>
      </c>
      <c r="AC60" s="160"/>
      <c r="AD60" s="160" t="s">
        <v>15</v>
      </c>
      <c r="AE60" s="160"/>
      <c r="AF60" s="160" t="s">
        <v>16</v>
      </c>
      <c r="AG60" s="160"/>
      <c r="AH60" s="160" t="s">
        <v>17</v>
      </c>
      <c r="AI60" s="160"/>
      <c r="AJ60" s="160" t="s">
        <v>18</v>
      </c>
      <c r="AK60" s="160"/>
      <c r="AL60" s="160" t="s">
        <v>19</v>
      </c>
      <c r="AM60" s="160"/>
      <c r="AN60" s="160" t="s">
        <v>20</v>
      </c>
      <c r="AO60" s="160"/>
      <c r="AP60" s="160" t="s">
        <v>21</v>
      </c>
      <c r="AQ60" s="160"/>
      <c r="AR60" s="160" t="s">
        <v>109</v>
      </c>
      <c r="AS60" s="160"/>
      <c r="AT60" s="160" t="s">
        <v>110</v>
      </c>
      <c r="AU60" s="160"/>
      <c r="AV60" s="160" t="s">
        <v>22</v>
      </c>
      <c r="AW60" s="160"/>
      <c r="AX60" s="160" t="s">
        <v>23</v>
      </c>
      <c r="AY60" s="160"/>
      <c r="AZ60" s="160" t="s">
        <v>24</v>
      </c>
      <c r="BA60" s="160"/>
      <c r="BB60" s="160" t="s">
        <v>25</v>
      </c>
      <c r="BC60" s="160"/>
      <c r="BD60" s="160" t="s">
        <v>26</v>
      </c>
      <c r="BE60" s="160"/>
      <c r="BF60" s="160" t="s">
        <v>27</v>
      </c>
      <c r="BG60" s="160"/>
      <c r="BH60" s="160" t="s">
        <v>28</v>
      </c>
      <c r="BI60" s="160"/>
      <c r="BJ60" s="160" t="s">
        <v>29</v>
      </c>
      <c r="BK60" s="160"/>
      <c r="BL60" s="160" t="s">
        <v>30</v>
      </c>
      <c r="BM60" s="160"/>
      <c r="BN60" s="160" t="s">
        <v>31</v>
      </c>
      <c r="BO60" s="160"/>
      <c r="BP60" s="160" t="s">
        <v>150</v>
      </c>
      <c r="BQ60" s="160"/>
    </row>
    <row r="61" spans="1:69" s="39" customFormat="1" ht="44.25" customHeight="1" x14ac:dyDescent="0.25">
      <c r="A61" s="40"/>
      <c r="B61" s="40" t="s">
        <v>161</v>
      </c>
      <c r="C61" s="40" t="s">
        <v>162</v>
      </c>
      <c r="D61" s="40" t="s">
        <v>161</v>
      </c>
      <c r="E61" s="40" t="s">
        <v>162</v>
      </c>
      <c r="F61" s="40" t="s">
        <v>161</v>
      </c>
      <c r="G61" s="40" t="s">
        <v>162</v>
      </c>
      <c r="H61" s="40" t="s">
        <v>161</v>
      </c>
      <c r="I61" s="40" t="s">
        <v>162</v>
      </c>
      <c r="J61" s="40" t="s">
        <v>161</v>
      </c>
      <c r="K61" s="40" t="s">
        <v>162</v>
      </c>
      <c r="L61" s="40" t="s">
        <v>161</v>
      </c>
      <c r="M61" s="40" t="s">
        <v>162</v>
      </c>
      <c r="N61" s="40" t="s">
        <v>161</v>
      </c>
      <c r="O61" s="40" t="s">
        <v>162</v>
      </c>
      <c r="P61" s="40" t="s">
        <v>161</v>
      </c>
      <c r="Q61" s="40" t="s">
        <v>162</v>
      </c>
      <c r="R61" s="40" t="s">
        <v>161</v>
      </c>
      <c r="S61" s="40" t="s">
        <v>162</v>
      </c>
      <c r="T61" s="40" t="s">
        <v>161</v>
      </c>
      <c r="U61" s="40" t="s">
        <v>162</v>
      </c>
      <c r="V61" s="40" t="s">
        <v>161</v>
      </c>
      <c r="W61" s="40" t="s">
        <v>162</v>
      </c>
      <c r="X61" s="40" t="s">
        <v>161</v>
      </c>
      <c r="Y61" s="40" t="s">
        <v>162</v>
      </c>
      <c r="Z61" s="40" t="s">
        <v>161</v>
      </c>
      <c r="AA61" s="40" t="s">
        <v>162</v>
      </c>
      <c r="AB61" s="40" t="s">
        <v>161</v>
      </c>
      <c r="AC61" s="40" t="s">
        <v>162</v>
      </c>
      <c r="AD61" s="40" t="s">
        <v>161</v>
      </c>
      <c r="AE61" s="40" t="s">
        <v>162</v>
      </c>
      <c r="AF61" s="40" t="s">
        <v>161</v>
      </c>
      <c r="AG61" s="40" t="s">
        <v>162</v>
      </c>
      <c r="AH61" s="40" t="s">
        <v>161</v>
      </c>
      <c r="AI61" s="40" t="s">
        <v>162</v>
      </c>
      <c r="AJ61" s="40" t="s">
        <v>161</v>
      </c>
      <c r="AK61" s="40" t="s">
        <v>162</v>
      </c>
      <c r="AL61" s="40" t="s">
        <v>161</v>
      </c>
      <c r="AM61" s="40" t="s">
        <v>162</v>
      </c>
      <c r="AN61" s="40" t="s">
        <v>161</v>
      </c>
      <c r="AO61" s="40" t="s">
        <v>162</v>
      </c>
      <c r="AP61" s="40" t="s">
        <v>161</v>
      </c>
      <c r="AQ61" s="40" t="s">
        <v>162</v>
      </c>
      <c r="AR61" s="40" t="s">
        <v>161</v>
      </c>
      <c r="AS61" s="40" t="s">
        <v>162</v>
      </c>
      <c r="AT61" s="40" t="s">
        <v>161</v>
      </c>
      <c r="AU61" s="40" t="s">
        <v>162</v>
      </c>
      <c r="AV61" s="40" t="s">
        <v>161</v>
      </c>
      <c r="AW61" s="40" t="s">
        <v>162</v>
      </c>
      <c r="AX61" s="40" t="s">
        <v>161</v>
      </c>
      <c r="AY61" s="40" t="s">
        <v>162</v>
      </c>
      <c r="AZ61" s="40" t="s">
        <v>161</v>
      </c>
      <c r="BA61" s="40" t="s">
        <v>162</v>
      </c>
      <c r="BB61" s="40" t="s">
        <v>161</v>
      </c>
      <c r="BC61" s="40" t="s">
        <v>162</v>
      </c>
      <c r="BD61" s="40" t="s">
        <v>161</v>
      </c>
      <c r="BE61" s="40" t="s">
        <v>162</v>
      </c>
      <c r="BF61" s="40" t="s">
        <v>161</v>
      </c>
      <c r="BG61" s="40" t="s">
        <v>162</v>
      </c>
      <c r="BH61" s="40" t="s">
        <v>161</v>
      </c>
      <c r="BI61" s="40" t="s">
        <v>162</v>
      </c>
      <c r="BJ61" s="40" t="s">
        <v>161</v>
      </c>
      <c r="BK61" s="40" t="s">
        <v>162</v>
      </c>
      <c r="BL61" s="40" t="s">
        <v>161</v>
      </c>
      <c r="BM61" s="40" t="s">
        <v>162</v>
      </c>
      <c r="BN61" s="40" t="s">
        <v>161</v>
      </c>
      <c r="BO61" s="40" t="s">
        <v>162</v>
      </c>
      <c r="BP61" s="40" t="s">
        <v>161</v>
      </c>
      <c r="BQ61" s="40" t="s">
        <v>162</v>
      </c>
    </row>
    <row r="62" spans="1:69" x14ac:dyDescent="0.25">
      <c r="A62" s="41" t="s">
        <v>67</v>
      </c>
      <c r="B62" s="41"/>
      <c r="C62" s="41"/>
      <c r="D62" s="41"/>
      <c r="E62" s="41"/>
      <c r="F62" s="41"/>
      <c r="G62" s="41"/>
      <c r="H62" s="41"/>
      <c r="I62" s="41"/>
      <c r="J62" s="70">
        <v>845</v>
      </c>
      <c r="K62" s="70">
        <v>1697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>
        <v>10</v>
      </c>
      <c r="Z62" s="41"/>
      <c r="AA62" s="41"/>
      <c r="AB62" s="41">
        <v>563</v>
      </c>
      <c r="AC62" s="41">
        <v>7573</v>
      </c>
      <c r="AD62" s="41">
        <v>3678</v>
      </c>
      <c r="AE62" s="41">
        <v>11549</v>
      </c>
      <c r="AF62" s="41">
        <v>548</v>
      </c>
      <c r="AG62" s="41">
        <v>576</v>
      </c>
      <c r="AH62" s="41"/>
      <c r="AI62" s="41"/>
      <c r="AJ62" s="41"/>
      <c r="AK62" s="41"/>
      <c r="AL62" s="41"/>
      <c r="AM62" s="41"/>
      <c r="AN62" s="41"/>
      <c r="AO62" s="41"/>
      <c r="AP62" s="41">
        <v>1454.0829999999996</v>
      </c>
      <c r="AQ62" s="41">
        <v>5866.3429999999998</v>
      </c>
      <c r="AR62" s="41">
        <v>2998</v>
      </c>
      <c r="AS62" s="41">
        <v>8071</v>
      </c>
      <c r="AT62" s="41">
        <v>2900</v>
      </c>
      <c r="AU62" s="41">
        <v>11448</v>
      </c>
      <c r="AV62" s="41"/>
      <c r="AW62" s="41"/>
      <c r="AX62" s="41">
        <v>424</v>
      </c>
      <c r="AY62" s="41">
        <v>1120</v>
      </c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>
        <v>2531</v>
      </c>
      <c r="BK62" s="41">
        <v>3664</v>
      </c>
      <c r="BL62" s="41">
        <v>1286</v>
      </c>
      <c r="BM62" s="41">
        <v>6694</v>
      </c>
      <c r="BN62" s="41"/>
      <c r="BO62" s="41"/>
      <c r="BP62" s="41">
        <f t="shared" ref="BP62:BQ65" si="7">B62+D62+F62+H62+J62+L62+N62+P62+R62+T62+V62+X62+Z62+AB62+AD62+AF62+AH62+AJ62+AL62+AN62+AP62+AR62+AT62+AV62+AX62+AZ62+BB62+BD62+BF62+BH62+BJ62+BL62+BN62</f>
        <v>17227.082999999999</v>
      </c>
      <c r="BQ62" s="41">
        <f t="shared" si="7"/>
        <v>58268.343000000001</v>
      </c>
    </row>
    <row r="63" spans="1:69" x14ac:dyDescent="0.25">
      <c r="A63" s="41" t="s">
        <v>68</v>
      </c>
      <c r="B63" s="41"/>
      <c r="C63" s="41"/>
      <c r="D63" s="41"/>
      <c r="E63" s="41"/>
      <c r="F63" s="41"/>
      <c r="G63" s="41"/>
      <c r="H63" s="41"/>
      <c r="I63" s="41"/>
      <c r="J63" s="68">
        <v>0</v>
      </c>
      <c r="K63" s="68">
        <v>0</v>
      </c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>
        <v>-13</v>
      </c>
      <c r="AC63" s="41">
        <v>6475</v>
      </c>
      <c r="AD63" s="41">
        <v>2630</v>
      </c>
      <c r="AE63" s="41">
        <v>45042</v>
      </c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>
        <v>1093.1179999999999</v>
      </c>
      <c r="AQ63" s="41">
        <v>3346.4549999999999</v>
      </c>
      <c r="AR63" s="41">
        <v>31629</v>
      </c>
      <c r="AS63" s="41">
        <v>165555</v>
      </c>
      <c r="AT63" s="41">
        <v>15817</v>
      </c>
      <c r="AU63" s="41">
        <v>35194</v>
      </c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>
        <v>3741</v>
      </c>
      <c r="BM63" s="41">
        <v>14252</v>
      </c>
      <c r="BN63" s="41"/>
      <c r="BO63" s="41"/>
      <c r="BP63" s="41">
        <f t="shared" si="7"/>
        <v>54897.118000000002</v>
      </c>
      <c r="BQ63" s="41">
        <f t="shared" si="7"/>
        <v>269864.45500000002</v>
      </c>
    </row>
    <row r="64" spans="1:69" x14ac:dyDescent="0.25">
      <c r="A64" s="41" t="s">
        <v>69</v>
      </c>
      <c r="B64" s="41"/>
      <c r="C64" s="41"/>
      <c r="D64" s="41"/>
      <c r="E64" s="41"/>
      <c r="F64" s="41"/>
      <c r="G64" s="41"/>
      <c r="H64" s="41"/>
      <c r="I64" s="41"/>
      <c r="J64" s="70">
        <v>254</v>
      </c>
      <c r="K64" s="70">
        <v>1431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>
        <v>252</v>
      </c>
      <c r="Z64" s="41"/>
      <c r="AA64" s="41"/>
      <c r="AB64" s="41">
        <v>-3817</v>
      </c>
      <c r="AC64" s="41">
        <v>-7978</v>
      </c>
      <c r="AD64" s="41">
        <v>1354</v>
      </c>
      <c r="AE64" s="41">
        <v>5133</v>
      </c>
      <c r="AF64" s="41">
        <v>822</v>
      </c>
      <c r="AG64" s="41">
        <v>806</v>
      </c>
      <c r="AH64" s="41"/>
      <c r="AI64" s="41"/>
      <c r="AJ64" s="41"/>
      <c r="AK64" s="41"/>
      <c r="AL64" s="41"/>
      <c r="AM64" s="41"/>
      <c r="AN64" s="41"/>
      <c r="AO64" s="41"/>
      <c r="AP64" s="41">
        <v>13845.229000000001</v>
      </c>
      <c r="AQ64" s="41">
        <v>22083.075000000001</v>
      </c>
      <c r="AR64" s="41">
        <v>14213</v>
      </c>
      <c r="AS64" s="41">
        <v>46090</v>
      </c>
      <c r="AT64" s="41">
        <v>-2706</v>
      </c>
      <c r="AU64" s="41">
        <v>24553</v>
      </c>
      <c r="AV64" s="41"/>
      <c r="AW64" s="41"/>
      <c r="AX64" s="41">
        <v>983</v>
      </c>
      <c r="AY64" s="41">
        <v>4291</v>
      </c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>
        <v>1298</v>
      </c>
      <c r="BK64" s="41">
        <v>3075</v>
      </c>
      <c r="BL64" s="41">
        <v>8458</v>
      </c>
      <c r="BM64" s="41">
        <v>16578</v>
      </c>
      <c r="BN64" s="41"/>
      <c r="BO64" s="41"/>
      <c r="BP64" s="41">
        <f t="shared" si="7"/>
        <v>34704.228999999999</v>
      </c>
      <c r="BQ64" s="41">
        <f t="shared" si="7"/>
        <v>116314.075</v>
      </c>
    </row>
    <row r="65" spans="1:69" x14ac:dyDescent="0.25">
      <c r="A65" s="41" t="s">
        <v>70</v>
      </c>
      <c r="B65" s="41"/>
      <c r="C65" s="41"/>
      <c r="D65" s="41"/>
      <c r="E65" s="41"/>
      <c r="F65" s="41"/>
      <c r="G65" s="41"/>
      <c r="H65" s="41"/>
      <c r="I65" s="41"/>
      <c r="J65" s="70">
        <v>591</v>
      </c>
      <c r="K65" s="70">
        <v>266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>
        <v>-242</v>
      </c>
      <c r="Z65" s="41"/>
      <c r="AA65" s="41"/>
      <c r="AB65" s="41">
        <v>-3267</v>
      </c>
      <c r="AC65" s="41">
        <v>6070</v>
      </c>
      <c r="AD65" s="41">
        <v>4954</v>
      </c>
      <c r="AE65" s="41">
        <v>51458</v>
      </c>
      <c r="AF65" s="41">
        <v>-274</v>
      </c>
      <c r="AG65" s="41">
        <v>-230</v>
      </c>
      <c r="AH65" s="41"/>
      <c r="AI65" s="41"/>
      <c r="AJ65" s="41"/>
      <c r="AK65" s="41"/>
      <c r="AL65" s="41"/>
      <c r="AM65" s="41"/>
      <c r="AN65" s="41"/>
      <c r="AO65" s="41"/>
      <c r="AP65" s="41">
        <v>-11298.028000000002</v>
      </c>
      <c r="AQ65" s="41">
        <v>-12870.277000000002</v>
      </c>
      <c r="AR65" s="41">
        <v>20413</v>
      </c>
      <c r="AS65" s="41">
        <v>127536</v>
      </c>
      <c r="AT65" s="41">
        <v>21423</v>
      </c>
      <c r="AU65" s="41">
        <v>22089</v>
      </c>
      <c r="AV65" s="41"/>
      <c r="AW65" s="41"/>
      <c r="AX65" s="41">
        <v>-559</v>
      </c>
      <c r="AY65" s="41">
        <v>-3171</v>
      </c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>
        <v>1233</v>
      </c>
      <c r="BK65" s="41">
        <v>589</v>
      </c>
      <c r="BL65" s="41">
        <v>-3431</v>
      </c>
      <c r="BM65" s="41">
        <v>4368</v>
      </c>
      <c r="BN65" s="41"/>
      <c r="BO65" s="41"/>
      <c r="BP65" s="41">
        <f t="shared" si="7"/>
        <v>29784.971999999994</v>
      </c>
      <c r="BQ65" s="41">
        <f t="shared" si="7"/>
        <v>195862.723</v>
      </c>
    </row>
    <row r="67" spans="1:69" x14ac:dyDescent="0.25">
      <c r="A67" s="10" t="s">
        <v>131</v>
      </c>
    </row>
    <row r="68" spans="1:69" s="12" customFormat="1" x14ac:dyDescent="0.25">
      <c r="A68" s="20" t="s">
        <v>0</v>
      </c>
      <c r="B68" s="160" t="s">
        <v>1</v>
      </c>
      <c r="C68" s="160"/>
      <c r="D68" s="160" t="s">
        <v>2</v>
      </c>
      <c r="E68" s="160"/>
      <c r="F68" s="160" t="s">
        <v>3</v>
      </c>
      <c r="G68" s="160"/>
      <c r="H68" s="160" t="s">
        <v>4</v>
      </c>
      <c r="I68" s="160"/>
      <c r="J68" s="160" t="s">
        <v>5</v>
      </c>
      <c r="K68" s="160"/>
      <c r="L68" s="160" t="s">
        <v>6</v>
      </c>
      <c r="M68" s="160"/>
      <c r="N68" s="160" t="s">
        <v>7</v>
      </c>
      <c r="O68" s="160"/>
      <c r="P68" s="160" t="s">
        <v>8</v>
      </c>
      <c r="Q68" s="160"/>
      <c r="R68" s="160" t="s">
        <v>9</v>
      </c>
      <c r="S68" s="160"/>
      <c r="T68" s="160" t="s">
        <v>10</v>
      </c>
      <c r="U68" s="160"/>
      <c r="V68" s="160" t="s">
        <v>11</v>
      </c>
      <c r="W68" s="160"/>
      <c r="X68" s="160" t="s">
        <v>12</v>
      </c>
      <c r="Y68" s="160"/>
      <c r="Z68" s="160" t="s">
        <v>13</v>
      </c>
      <c r="AA68" s="160"/>
      <c r="AB68" s="160" t="s">
        <v>14</v>
      </c>
      <c r="AC68" s="160"/>
      <c r="AD68" s="160" t="s">
        <v>15</v>
      </c>
      <c r="AE68" s="160"/>
      <c r="AF68" s="160" t="s">
        <v>16</v>
      </c>
      <c r="AG68" s="160"/>
      <c r="AH68" s="160" t="s">
        <v>17</v>
      </c>
      <c r="AI68" s="160"/>
      <c r="AJ68" s="160" t="s">
        <v>18</v>
      </c>
      <c r="AK68" s="160"/>
      <c r="AL68" s="160" t="s">
        <v>19</v>
      </c>
      <c r="AM68" s="160"/>
      <c r="AN68" s="160" t="s">
        <v>20</v>
      </c>
      <c r="AO68" s="160"/>
      <c r="AP68" s="160" t="s">
        <v>21</v>
      </c>
      <c r="AQ68" s="160"/>
      <c r="AR68" s="160" t="s">
        <v>109</v>
      </c>
      <c r="AS68" s="160"/>
      <c r="AT68" s="160" t="s">
        <v>110</v>
      </c>
      <c r="AU68" s="160"/>
      <c r="AV68" s="160" t="s">
        <v>22</v>
      </c>
      <c r="AW68" s="160"/>
      <c r="AX68" s="160" t="s">
        <v>23</v>
      </c>
      <c r="AY68" s="160"/>
      <c r="AZ68" s="160" t="s">
        <v>24</v>
      </c>
      <c r="BA68" s="160"/>
      <c r="BB68" s="160" t="s">
        <v>25</v>
      </c>
      <c r="BC68" s="160"/>
      <c r="BD68" s="160" t="s">
        <v>26</v>
      </c>
      <c r="BE68" s="160"/>
      <c r="BF68" s="160" t="s">
        <v>27</v>
      </c>
      <c r="BG68" s="160"/>
      <c r="BH68" s="160" t="s">
        <v>28</v>
      </c>
      <c r="BI68" s="160"/>
      <c r="BJ68" s="160" t="s">
        <v>29</v>
      </c>
      <c r="BK68" s="160"/>
      <c r="BL68" s="160" t="s">
        <v>30</v>
      </c>
      <c r="BM68" s="160"/>
      <c r="BN68" s="160" t="s">
        <v>31</v>
      </c>
      <c r="BO68" s="160"/>
      <c r="BP68" s="160" t="s">
        <v>150</v>
      </c>
      <c r="BQ68" s="160"/>
    </row>
    <row r="69" spans="1:69" s="39" customFormat="1" ht="44.25" customHeight="1" x14ac:dyDescent="0.25">
      <c r="A69" s="40"/>
      <c r="B69" s="40" t="s">
        <v>161</v>
      </c>
      <c r="C69" s="40" t="s">
        <v>162</v>
      </c>
      <c r="D69" s="40" t="s">
        <v>161</v>
      </c>
      <c r="E69" s="40" t="s">
        <v>162</v>
      </c>
      <c r="F69" s="40" t="s">
        <v>161</v>
      </c>
      <c r="G69" s="40" t="s">
        <v>162</v>
      </c>
      <c r="H69" s="40" t="s">
        <v>161</v>
      </c>
      <c r="I69" s="40" t="s">
        <v>162</v>
      </c>
      <c r="J69" s="40" t="s">
        <v>161</v>
      </c>
      <c r="K69" s="40" t="s">
        <v>162</v>
      </c>
      <c r="L69" s="40" t="s">
        <v>161</v>
      </c>
      <c r="M69" s="40" t="s">
        <v>162</v>
      </c>
      <c r="N69" s="40" t="s">
        <v>161</v>
      </c>
      <c r="O69" s="40" t="s">
        <v>162</v>
      </c>
      <c r="P69" s="40" t="s">
        <v>161</v>
      </c>
      <c r="Q69" s="40" t="s">
        <v>162</v>
      </c>
      <c r="R69" s="40" t="s">
        <v>161</v>
      </c>
      <c r="S69" s="40" t="s">
        <v>162</v>
      </c>
      <c r="T69" s="40" t="s">
        <v>161</v>
      </c>
      <c r="U69" s="40" t="s">
        <v>162</v>
      </c>
      <c r="V69" s="40" t="s">
        <v>161</v>
      </c>
      <c r="W69" s="40" t="s">
        <v>162</v>
      </c>
      <c r="X69" s="40" t="s">
        <v>161</v>
      </c>
      <c r="Y69" s="40" t="s">
        <v>162</v>
      </c>
      <c r="Z69" s="40" t="s">
        <v>161</v>
      </c>
      <c r="AA69" s="40" t="s">
        <v>162</v>
      </c>
      <c r="AB69" s="40" t="s">
        <v>161</v>
      </c>
      <c r="AC69" s="40" t="s">
        <v>162</v>
      </c>
      <c r="AD69" s="40" t="s">
        <v>161</v>
      </c>
      <c r="AE69" s="40" t="s">
        <v>162</v>
      </c>
      <c r="AF69" s="40" t="s">
        <v>161</v>
      </c>
      <c r="AG69" s="40" t="s">
        <v>162</v>
      </c>
      <c r="AH69" s="40" t="s">
        <v>161</v>
      </c>
      <c r="AI69" s="40" t="s">
        <v>162</v>
      </c>
      <c r="AJ69" s="40" t="s">
        <v>161</v>
      </c>
      <c r="AK69" s="40" t="s">
        <v>162</v>
      </c>
      <c r="AL69" s="40" t="s">
        <v>161</v>
      </c>
      <c r="AM69" s="40" t="s">
        <v>162</v>
      </c>
      <c r="AN69" s="40" t="s">
        <v>161</v>
      </c>
      <c r="AO69" s="40" t="s">
        <v>162</v>
      </c>
      <c r="AP69" s="40" t="s">
        <v>161</v>
      </c>
      <c r="AQ69" s="40" t="s">
        <v>162</v>
      </c>
      <c r="AR69" s="40" t="s">
        <v>161</v>
      </c>
      <c r="AS69" s="40" t="s">
        <v>162</v>
      </c>
      <c r="AT69" s="40" t="s">
        <v>161</v>
      </c>
      <c r="AU69" s="40" t="s">
        <v>162</v>
      </c>
      <c r="AV69" s="40" t="s">
        <v>161</v>
      </c>
      <c r="AW69" s="40" t="s">
        <v>162</v>
      </c>
      <c r="AX69" s="40" t="s">
        <v>161</v>
      </c>
      <c r="AY69" s="40" t="s">
        <v>162</v>
      </c>
      <c r="AZ69" s="40" t="s">
        <v>161</v>
      </c>
      <c r="BA69" s="40" t="s">
        <v>162</v>
      </c>
      <c r="BB69" s="40" t="s">
        <v>161</v>
      </c>
      <c r="BC69" s="40" t="s">
        <v>162</v>
      </c>
      <c r="BD69" s="40" t="s">
        <v>161</v>
      </c>
      <c r="BE69" s="40" t="s">
        <v>162</v>
      </c>
      <c r="BF69" s="40" t="s">
        <v>161</v>
      </c>
      <c r="BG69" s="40" t="s">
        <v>162</v>
      </c>
      <c r="BH69" s="40" t="s">
        <v>161</v>
      </c>
      <c r="BI69" s="40" t="s">
        <v>162</v>
      </c>
      <c r="BJ69" s="40" t="s">
        <v>161</v>
      </c>
      <c r="BK69" s="40" t="s">
        <v>162</v>
      </c>
      <c r="BL69" s="40" t="s">
        <v>161</v>
      </c>
      <c r="BM69" s="40" t="s">
        <v>162</v>
      </c>
      <c r="BN69" s="40" t="s">
        <v>161</v>
      </c>
      <c r="BO69" s="40" t="s">
        <v>162</v>
      </c>
      <c r="BP69" s="40" t="s">
        <v>161</v>
      </c>
      <c r="BQ69" s="40" t="s">
        <v>162</v>
      </c>
    </row>
    <row r="70" spans="1:69" x14ac:dyDescent="0.25">
      <c r="A70" s="41" t="s">
        <v>67</v>
      </c>
      <c r="B70" s="41">
        <f t="shared" ref="B70:E73" si="8">B78-B46-B38-B30-B22-B14-B6-B54-B62</f>
        <v>0</v>
      </c>
      <c r="C70" s="41">
        <f t="shared" si="8"/>
        <v>0</v>
      </c>
      <c r="D70" s="41">
        <f t="shared" si="8"/>
        <v>1</v>
      </c>
      <c r="E70" s="41">
        <f t="shared" si="8"/>
        <v>0</v>
      </c>
      <c r="F70" s="41"/>
      <c r="G70" s="41"/>
      <c r="H70" s="41">
        <f t="shared" ref="H70:I73" si="9">H78-H46-H38-H30-H22-H14-H6-H54-H62</f>
        <v>3020</v>
      </c>
      <c r="I70" s="41">
        <f t="shared" si="9"/>
        <v>14336</v>
      </c>
      <c r="J70" s="41">
        <f t="shared" ref="J70:S70" si="10">J78-J46-J38-J30-J22-J14-J6-J54-J62</f>
        <v>227521</v>
      </c>
      <c r="K70" s="41">
        <f t="shared" si="10"/>
        <v>742542</v>
      </c>
      <c r="L70" s="41">
        <f t="shared" si="10"/>
        <v>6006</v>
      </c>
      <c r="M70" s="41">
        <f t="shared" si="10"/>
        <v>17635</v>
      </c>
      <c r="N70" s="41">
        <f t="shared" si="10"/>
        <v>-2176</v>
      </c>
      <c r="O70" s="41">
        <f t="shared" si="10"/>
        <v>27016</v>
      </c>
      <c r="P70" s="41">
        <f t="shared" si="10"/>
        <v>0</v>
      </c>
      <c r="Q70" s="41">
        <f t="shared" si="10"/>
        <v>0</v>
      </c>
      <c r="R70" s="41">
        <f t="shared" si="10"/>
        <v>0</v>
      </c>
      <c r="S70" s="41">
        <f t="shared" si="10"/>
        <v>0</v>
      </c>
      <c r="T70" s="41">
        <f t="shared" ref="T70:W70" si="11">T78-T46-T38-T30-T22-T14-T6-T54-T62</f>
        <v>0</v>
      </c>
      <c r="U70" s="41">
        <f t="shared" si="11"/>
        <v>0</v>
      </c>
      <c r="V70" s="41">
        <f t="shared" si="11"/>
        <v>23710.31</v>
      </c>
      <c r="W70" s="41">
        <f t="shared" si="11"/>
        <v>49967.06</v>
      </c>
      <c r="X70" s="41">
        <f t="shared" ref="X70:AE73" si="12">X78-X46-X38-X30-X22-X14-X6-X54-X62</f>
        <v>23443</v>
      </c>
      <c r="Y70" s="41">
        <f t="shared" si="12"/>
        <v>116377</v>
      </c>
      <c r="Z70" s="41">
        <f t="shared" si="12"/>
        <v>25235</v>
      </c>
      <c r="AA70" s="41">
        <f t="shared" si="12"/>
        <v>25675</v>
      </c>
      <c r="AB70" s="41">
        <f t="shared" si="12"/>
        <v>58560</v>
      </c>
      <c r="AC70" s="41">
        <f t="shared" si="12"/>
        <v>190625</v>
      </c>
      <c r="AD70" s="41">
        <f t="shared" si="12"/>
        <v>227987</v>
      </c>
      <c r="AE70" s="41">
        <f t="shared" si="12"/>
        <v>645194</v>
      </c>
      <c r="AF70" s="41">
        <f t="shared" ref="AF70:AU70" si="13">AF78-AF46-AF38-AF30-AF22-AF14-AF6-AF54-AF62</f>
        <v>2884</v>
      </c>
      <c r="AG70" s="41">
        <f t="shared" si="13"/>
        <v>-5407</v>
      </c>
      <c r="AH70" s="41">
        <f t="shared" si="13"/>
        <v>2992</v>
      </c>
      <c r="AI70" s="41">
        <f t="shared" si="13"/>
        <v>8660</v>
      </c>
      <c r="AJ70" s="41">
        <f t="shared" si="13"/>
        <v>25672</v>
      </c>
      <c r="AK70" s="41">
        <f t="shared" si="13"/>
        <v>63246</v>
      </c>
      <c r="AL70" s="41">
        <f t="shared" si="13"/>
        <v>-16144</v>
      </c>
      <c r="AM70" s="41">
        <f t="shared" si="13"/>
        <v>-33820</v>
      </c>
      <c r="AN70" s="41">
        <f t="shared" si="13"/>
        <v>0</v>
      </c>
      <c r="AO70" s="41">
        <f t="shared" si="13"/>
        <v>0</v>
      </c>
      <c r="AP70" s="41">
        <f t="shared" si="13"/>
        <v>-1908784.2019999998</v>
      </c>
      <c r="AQ70" s="41">
        <f t="shared" si="13"/>
        <v>2232800.021000002</v>
      </c>
      <c r="AR70" s="41">
        <f t="shared" si="13"/>
        <v>221560</v>
      </c>
      <c r="AS70" s="41">
        <f t="shared" si="13"/>
        <v>1081638</v>
      </c>
      <c r="AT70" s="41">
        <f t="shared" si="13"/>
        <v>165725</v>
      </c>
      <c r="AU70" s="41">
        <f t="shared" si="13"/>
        <v>623907</v>
      </c>
      <c r="AV70" s="41">
        <f t="shared" ref="AV70:AW73" si="14">AV78-AV46-AV38-AV30-AV22-AV14-AV6-AV54-AV62</f>
        <v>1171</v>
      </c>
      <c r="AW70" s="41">
        <f t="shared" si="14"/>
        <v>2198.75</v>
      </c>
      <c r="AX70" s="41">
        <f t="shared" ref="AX70:AY73" si="15">AX78-AX46-AX38-AX30-AX22-AX14-AX6-AX54-AX62</f>
        <v>15822</v>
      </c>
      <c r="AY70" s="41">
        <f t="shared" si="15"/>
        <v>80499</v>
      </c>
      <c r="AZ70" s="41">
        <f t="shared" ref="AZ70:BI70" si="16">AZ78-AZ46-AZ38-AZ30-AZ22-AZ14-AZ6-AZ54-AZ62</f>
        <v>28953</v>
      </c>
      <c r="BA70" s="41">
        <f t="shared" si="16"/>
        <v>94332</v>
      </c>
      <c r="BB70" s="41">
        <f t="shared" ref="BB70:BG73" si="17">BB78-BB46-BB38-BB30-BB22-BB14-BB6-BB54-BB62</f>
        <v>6038</v>
      </c>
      <c r="BC70" s="41">
        <f t="shared" si="17"/>
        <v>12270</v>
      </c>
      <c r="BD70" s="41">
        <f t="shared" si="17"/>
        <v>49079</v>
      </c>
      <c r="BE70" s="41">
        <f t="shared" si="17"/>
        <v>114483</v>
      </c>
      <c r="BF70" s="41">
        <f t="shared" si="17"/>
        <v>4100</v>
      </c>
      <c r="BG70" s="41">
        <f t="shared" si="17"/>
        <v>12291</v>
      </c>
      <c r="BH70" s="41">
        <f t="shared" si="16"/>
        <v>2088059</v>
      </c>
      <c r="BI70" s="41">
        <f t="shared" si="16"/>
        <v>5037076</v>
      </c>
      <c r="BJ70" s="41">
        <f t="shared" ref="BJ70:BO73" si="18">BJ78-BJ46-BJ38-BJ30-BJ22-BJ14-BJ6-BJ54-BJ62</f>
        <v>51424</v>
      </c>
      <c r="BK70" s="41">
        <f t="shared" si="18"/>
        <v>160784</v>
      </c>
      <c r="BL70" s="41">
        <f t="shared" si="18"/>
        <v>1525064</v>
      </c>
      <c r="BM70" s="41">
        <f t="shared" si="18"/>
        <v>2121576</v>
      </c>
      <c r="BN70" s="41">
        <f t="shared" si="18"/>
        <v>30460</v>
      </c>
      <c r="BO70" s="41">
        <f t="shared" si="18"/>
        <v>99738</v>
      </c>
      <c r="BP70" s="41">
        <f t="shared" ref="BP70:BQ73" si="19">B70+D70+F70+H70+J70+L70+N70+P70+R70+T70+V70+X70+Z70+AB70+AD70+AF70+AH70+AJ70+AL70+AN70+AP70+AR70+AT70+AV70+AX70+AZ70+BB70+BD70+BF70+BH70+BJ70+BL70+BN70</f>
        <v>2887382.108</v>
      </c>
      <c r="BQ70" s="41">
        <f t="shared" si="19"/>
        <v>13535638.831000002</v>
      </c>
    </row>
    <row r="71" spans="1:69" x14ac:dyDescent="0.25">
      <c r="A71" s="41" t="s">
        <v>68</v>
      </c>
      <c r="B71" s="41">
        <f t="shared" si="8"/>
        <v>0</v>
      </c>
      <c r="C71" s="41">
        <f t="shared" si="8"/>
        <v>0</v>
      </c>
      <c r="D71" s="41">
        <f t="shared" si="8"/>
        <v>0</v>
      </c>
      <c r="E71" s="41">
        <f t="shared" si="8"/>
        <v>0</v>
      </c>
      <c r="F71" s="41"/>
      <c r="G71" s="41"/>
      <c r="H71" s="41">
        <f t="shared" si="9"/>
        <v>0</v>
      </c>
      <c r="I71" s="41">
        <f t="shared" si="9"/>
        <v>0</v>
      </c>
      <c r="J71" s="41">
        <f t="shared" ref="J71:S71" si="20">J79-J47-J39-J31-J23-J15-J7-J55-J63</f>
        <v>626</v>
      </c>
      <c r="K71" s="41">
        <f t="shared" si="20"/>
        <v>1970</v>
      </c>
      <c r="L71" s="41">
        <f t="shared" si="20"/>
        <v>0</v>
      </c>
      <c r="M71" s="41">
        <f t="shared" si="20"/>
        <v>1</v>
      </c>
      <c r="N71" s="41">
        <f t="shared" si="20"/>
        <v>0</v>
      </c>
      <c r="O71" s="41">
        <f t="shared" si="20"/>
        <v>0</v>
      </c>
      <c r="P71" s="41">
        <f t="shared" si="20"/>
        <v>0</v>
      </c>
      <c r="Q71" s="41">
        <f t="shared" si="20"/>
        <v>0</v>
      </c>
      <c r="R71" s="41">
        <f t="shared" si="20"/>
        <v>0</v>
      </c>
      <c r="S71" s="41">
        <f t="shared" si="20"/>
        <v>0</v>
      </c>
      <c r="T71" s="41">
        <f t="shared" ref="T71:W71" si="21">T79-T47-T39-T31-T23-T15-T7-T55-T63</f>
        <v>0</v>
      </c>
      <c r="U71" s="41">
        <f t="shared" si="21"/>
        <v>0</v>
      </c>
      <c r="V71" s="41">
        <f t="shared" si="21"/>
        <v>0</v>
      </c>
      <c r="W71" s="41">
        <f t="shared" si="21"/>
        <v>0</v>
      </c>
      <c r="X71" s="41">
        <f t="shared" si="12"/>
        <v>0</v>
      </c>
      <c r="Y71" s="41">
        <f t="shared" si="12"/>
        <v>0</v>
      </c>
      <c r="Z71" s="41">
        <f t="shared" si="12"/>
        <v>0</v>
      </c>
      <c r="AA71" s="41">
        <f t="shared" si="12"/>
        <v>0</v>
      </c>
      <c r="AB71" s="41">
        <f t="shared" si="12"/>
        <v>2509</v>
      </c>
      <c r="AC71" s="41">
        <f t="shared" si="12"/>
        <v>12839</v>
      </c>
      <c r="AD71" s="41">
        <f t="shared" si="12"/>
        <v>839</v>
      </c>
      <c r="AE71" s="41">
        <f t="shared" si="12"/>
        <v>4689</v>
      </c>
      <c r="AF71" s="41">
        <f t="shared" ref="AF71:AU71" si="22">AF79-AF47-AF39-AF31-AF23-AF15-AF7-AF55-AF63</f>
        <v>-8659</v>
      </c>
      <c r="AG71" s="41">
        <f t="shared" si="22"/>
        <v>-38644</v>
      </c>
      <c r="AH71" s="41">
        <f t="shared" si="22"/>
        <v>0</v>
      </c>
      <c r="AI71" s="41">
        <f t="shared" si="22"/>
        <v>0</v>
      </c>
      <c r="AJ71" s="41">
        <f t="shared" si="22"/>
        <v>0</v>
      </c>
      <c r="AK71" s="41">
        <f t="shared" si="22"/>
        <v>0</v>
      </c>
      <c r="AL71" s="41">
        <f t="shared" si="22"/>
        <v>-7204</v>
      </c>
      <c r="AM71" s="41">
        <f t="shared" si="22"/>
        <v>-21379</v>
      </c>
      <c r="AN71" s="41">
        <f t="shared" si="22"/>
        <v>0</v>
      </c>
      <c r="AO71" s="41">
        <f t="shared" si="22"/>
        <v>0</v>
      </c>
      <c r="AP71" s="41">
        <f t="shared" si="22"/>
        <v>47756.346999999965</v>
      </c>
      <c r="AQ71" s="41">
        <f t="shared" si="22"/>
        <v>107554.20000000007</v>
      </c>
      <c r="AR71" s="41">
        <f t="shared" si="22"/>
        <v>41926</v>
      </c>
      <c r="AS71" s="41">
        <f t="shared" si="22"/>
        <v>318896</v>
      </c>
      <c r="AT71" s="41">
        <f t="shared" si="22"/>
        <v>75474</v>
      </c>
      <c r="AU71" s="41">
        <f t="shared" si="22"/>
        <v>177712</v>
      </c>
      <c r="AV71" s="41">
        <f t="shared" si="14"/>
        <v>-1</v>
      </c>
      <c r="AW71" s="41">
        <f t="shared" si="14"/>
        <v>0</v>
      </c>
      <c r="AX71" s="41">
        <f t="shared" si="15"/>
        <v>-1</v>
      </c>
      <c r="AY71" s="41">
        <f t="shared" si="15"/>
        <v>1</v>
      </c>
      <c r="AZ71" s="41">
        <f t="shared" ref="AZ71:BI71" si="23">AZ79-AZ47-AZ39-AZ31-AZ23-AZ15-AZ7-AZ55-AZ63</f>
        <v>0</v>
      </c>
      <c r="BA71" s="41">
        <f t="shared" si="23"/>
        <v>0</v>
      </c>
      <c r="BB71" s="41">
        <f t="shared" si="17"/>
        <v>-1</v>
      </c>
      <c r="BC71" s="41">
        <f t="shared" si="17"/>
        <v>0</v>
      </c>
      <c r="BD71" s="41">
        <f t="shared" si="17"/>
        <v>0</v>
      </c>
      <c r="BE71" s="41">
        <f t="shared" si="17"/>
        <v>0</v>
      </c>
      <c r="BF71" s="41">
        <f t="shared" si="17"/>
        <v>0</v>
      </c>
      <c r="BG71" s="41">
        <f t="shared" si="17"/>
        <v>0</v>
      </c>
      <c r="BH71" s="41">
        <f t="shared" si="23"/>
        <v>0</v>
      </c>
      <c r="BI71" s="41">
        <f t="shared" si="23"/>
        <v>0</v>
      </c>
      <c r="BJ71" s="41">
        <f t="shared" si="18"/>
        <v>1</v>
      </c>
      <c r="BK71" s="41">
        <f t="shared" si="18"/>
        <v>1</v>
      </c>
      <c r="BL71" s="41">
        <f t="shared" si="18"/>
        <v>79269</v>
      </c>
      <c r="BM71" s="41">
        <f t="shared" si="18"/>
        <v>94043</v>
      </c>
      <c r="BN71" s="41">
        <f t="shared" si="18"/>
        <v>0</v>
      </c>
      <c r="BO71" s="41">
        <f t="shared" si="18"/>
        <v>0</v>
      </c>
      <c r="BP71" s="41">
        <f t="shared" si="19"/>
        <v>232534.34699999995</v>
      </c>
      <c r="BQ71" s="41">
        <f t="shared" si="19"/>
        <v>657683.20000000007</v>
      </c>
    </row>
    <row r="72" spans="1:69" x14ac:dyDescent="0.25">
      <c r="A72" s="41" t="s">
        <v>69</v>
      </c>
      <c r="B72" s="41">
        <f t="shared" si="8"/>
        <v>0.10699999999999932</v>
      </c>
      <c r="C72" s="41">
        <f t="shared" si="8"/>
        <v>0.37099999999999511</v>
      </c>
      <c r="D72" s="41">
        <f t="shared" si="8"/>
        <v>0</v>
      </c>
      <c r="E72" s="41">
        <f t="shared" si="8"/>
        <v>0</v>
      </c>
      <c r="F72" s="41"/>
      <c r="G72" s="41"/>
      <c r="H72" s="41">
        <f t="shared" si="9"/>
        <v>230</v>
      </c>
      <c r="I72" s="41">
        <f t="shared" si="9"/>
        <v>8596</v>
      </c>
      <c r="J72" s="41">
        <f t="shared" ref="J72:S72" si="24">J80-J48-J40-J32-J24-J16-J8-J56-J64</f>
        <v>186944</v>
      </c>
      <c r="K72" s="41">
        <f t="shared" si="24"/>
        <v>1383263</v>
      </c>
      <c r="L72" s="41">
        <f t="shared" si="24"/>
        <v>77582</v>
      </c>
      <c r="M72" s="41">
        <f t="shared" si="24"/>
        <v>244192</v>
      </c>
      <c r="N72" s="41">
        <f t="shared" si="24"/>
        <v>-619708</v>
      </c>
      <c r="O72" s="41">
        <f t="shared" si="24"/>
        <v>200437</v>
      </c>
      <c r="P72" s="41">
        <f t="shared" si="24"/>
        <v>0</v>
      </c>
      <c r="Q72" s="41">
        <f t="shared" si="24"/>
        <v>0</v>
      </c>
      <c r="R72" s="41">
        <f t="shared" si="24"/>
        <v>0</v>
      </c>
      <c r="S72" s="41">
        <f t="shared" si="24"/>
        <v>0</v>
      </c>
      <c r="T72" s="41">
        <f t="shared" ref="T72:W72" si="25">T80-T48-T40-T32-T24-T16-T8-T56-T64</f>
        <v>0</v>
      </c>
      <c r="U72" s="41">
        <f t="shared" si="25"/>
        <v>0</v>
      </c>
      <c r="V72" s="41">
        <f t="shared" si="25"/>
        <v>212020.39</v>
      </c>
      <c r="W72" s="41">
        <f t="shared" si="25"/>
        <v>630964.28</v>
      </c>
      <c r="X72" s="41">
        <f t="shared" si="12"/>
        <v>37171</v>
      </c>
      <c r="Y72" s="41">
        <f t="shared" si="12"/>
        <v>248632</v>
      </c>
      <c r="Z72" s="41">
        <f t="shared" si="12"/>
        <v>2370</v>
      </c>
      <c r="AA72" s="41">
        <f t="shared" si="12"/>
        <v>2457</v>
      </c>
      <c r="AB72" s="41">
        <f t="shared" si="12"/>
        <v>-607418</v>
      </c>
      <c r="AC72" s="41">
        <f t="shared" si="12"/>
        <v>-2189216</v>
      </c>
      <c r="AD72" s="41">
        <f t="shared" si="12"/>
        <v>335922</v>
      </c>
      <c r="AE72" s="41">
        <f t="shared" si="12"/>
        <v>1577645</v>
      </c>
      <c r="AF72" s="41">
        <f t="shared" ref="AF72:AU72" si="26">AF80-AF48-AF40-AF32-AF24-AF16-AF8-AF56-AF64</f>
        <v>335901</v>
      </c>
      <c r="AG72" s="41">
        <f t="shared" si="26"/>
        <v>496368</v>
      </c>
      <c r="AH72" s="41">
        <f t="shared" si="26"/>
        <v>2129</v>
      </c>
      <c r="AI72" s="41">
        <f t="shared" si="26"/>
        <v>6318</v>
      </c>
      <c r="AJ72" s="41">
        <f t="shared" si="26"/>
        <v>2714</v>
      </c>
      <c r="AK72" s="41">
        <f t="shared" si="26"/>
        <v>11530</v>
      </c>
      <c r="AL72" s="41">
        <f t="shared" si="26"/>
        <v>49958</v>
      </c>
      <c r="AM72" s="41">
        <f t="shared" si="26"/>
        <v>115486</v>
      </c>
      <c r="AN72" s="41">
        <f t="shared" si="26"/>
        <v>0</v>
      </c>
      <c r="AO72" s="41">
        <f t="shared" si="26"/>
        <v>0</v>
      </c>
      <c r="AP72" s="41">
        <f t="shared" si="26"/>
        <v>-1443474.996</v>
      </c>
      <c r="AQ72" s="41">
        <f t="shared" si="26"/>
        <v>486965.29800000001</v>
      </c>
      <c r="AR72" s="41">
        <f t="shared" si="26"/>
        <v>-194525</v>
      </c>
      <c r="AS72" s="41">
        <f t="shared" si="26"/>
        <v>1219327</v>
      </c>
      <c r="AT72" s="41">
        <f t="shared" si="26"/>
        <v>579394</v>
      </c>
      <c r="AU72" s="41">
        <f t="shared" si="26"/>
        <v>703852</v>
      </c>
      <c r="AV72" s="41">
        <f t="shared" si="14"/>
        <v>1336</v>
      </c>
      <c r="AW72" s="41">
        <f t="shared" si="14"/>
        <v>2060.9400000000005</v>
      </c>
      <c r="AX72" s="41">
        <f t="shared" si="15"/>
        <v>275332</v>
      </c>
      <c r="AY72" s="41">
        <f t="shared" si="15"/>
        <v>1126864</v>
      </c>
      <c r="AZ72" s="41">
        <f t="shared" ref="AZ72:BI72" si="27">AZ80-AZ48-AZ40-AZ32-AZ24-AZ16-AZ8-AZ56-AZ64</f>
        <v>12011</v>
      </c>
      <c r="BA72" s="41">
        <f t="shared" si="27"/>
        <v>67288</v>
      </c>
      <c r="BB72" s="41">
        <f t="shared" si="17"/>
        <v>-1350</v>
      </c>
      <c r="BC72" s="41">
        <f t="shared" si="17"/>
        <v>-9435</v>
      </c>
      <c r="BD72" s="41">
        <f t="shared" si="17"/>
        <v>75881</v>
      </c>
      <c r="BE72" s="41">
        <f t="shared" si="17"/>
        <v>750534</v>
      </c>
      <c r="BF72" s="41">
        <f t="shared" si="17"/>
        <v>-15585</v>
      </c>
      <c r="BG72" s="41">
        <f t="shared" si="17"/>
        <v>-8948</v>
      </c>
      <c r="BH72" s="41">
        <f t="shared" si="27"/>
        <v>1546877</v>
      </c>
      <c r="BI72" s="41">
        <f t="shared" si="27"/>
        <v>3671309</v>
      </c>
      <c r="BJ72" s="41">
        <f t="shared" si="18"/>
        <v>87127</v>
      </c>
      <c r="BK72" s="41">
        <f t="shared" si="18"/>
        <v>299321</v>
      </c>
      <c r="BL72" s="41">
        <f t="shared" si="18"/>
        <v>522819</v>
      </c>
      <c r="BM72" s="41">
        <f t="shared" si="18"/>
        <v>919063</v>
      </c>
      <c r="BN72" s="41">
        <f t="shared" si="18"/>
        <v>930842</v>
      </c>
      <c r="BO72" s="41">
        <f t="shared" si="18"/>
        <v>1188081</v>
      </c>
      <c r="BP72" s="41">
        <f t="shared" si="19"/>
        <v>2392499.5010000002</v>
      </c>
      <c r="BQ72" s="41">
        <f t="shared" si="19"/>
        <v>13152954.889</v>
      </c>
    </row>
    <row r="73" spans="1:69" x14ac:dyDescent="0.25">
      <c r="A73" s="41" t="s">
        <v>70</v>
      </c>
      <c r="B73" s="41">
        <f t="shared" si="8"/>
        <v>0</v>
      </c>
      <c r="C73" s="41">
        <f t="shared" si="8"/>
        <v>0</v>
      </c>
      <c r="D73" s="41">
        <f t="shared" si="8"/>
        <v>0</v>
      </c>
      <c r="E73" s="41">
        <f t="shared" si="8"/>
        <v>0</v>
      </c>
      <c r="F73" s="41"/>
      <c r="G73" s="41"/>
      <c r="H73" s="41">
        <f t="shared" si="9"/>
        <v>2790</v>
      </c>
      <c r="I73" s="41">
        <f t="shared" si="9"/>
        <v>5740</v>
      </c>
      <c r="J73" s="41">
        <f t="shared" ref="J73:S73" si="28">J81-J49-J41-J33-J25-J17-J9-J57-J65</f>
        <v>41203</v>
      </c>
      <c r="K73" s="41">
        <f t="shared" si="28"/>
        <v>-638751</v>
      </c>
      <c r="L73" s="41">
        <f t="shared" si="28"/>
        <v>-71576</v>
      </c>
      <c r="M73" s="41">
        <f t="shared" si="28"/>
        <v>-226555</v>
      </c>
      <c r="N73" s="41">
        <f t="shared" si="28"/>
        <v>617532</v>
      </c>
      <c r="O73" s="41">
        <f t="shared" si="28"/>
        <v>-173421</v>
      </c>
      <c r="P73" s="41">
        <f t="shared" si="28"/>
        <v>0</v>
      </c>
      <c r="Q73" s="41">
        <f t="shared" si="28"/>
        <v>0</v>
      </c>
      <c r="R73" s="41">
        <f t="shared" si="28"/>
        <v>0</v>
      </c>
      <c r="S73" s="41">
        <f t="shared" si="28"/>
        <v>0</v>
      </c>
      <c r="T73" s="41">
        <f t="shared" ref="T73:W73" si="29">T81-T49-T41-T33-T25-T17-T9-T57-T65</f>
        <v>0</v>
      </c>
      <c r="U73" s="41">
        <f t="shared" si="29"/>
        <v>0</v>
      </c>
      <c r="V73" s="41">
        <f t="shared" si="29"/>
        <v>-188310.08</v>
      </c>
      <c r="W73" s="41">
        <f t="shared" si="29"/>
        <v>580997.22</v>
      </c>
      <c r="X73" s="41">
        <f t="shared" si="12"/>
        <v>-13728</v>
      </c>
      <c r="Y73" s="41">
        <f t="shared" si="12"/>
        <v>-132255</v>
      </c>
      <c r="Z73" s="41">
        <f t="shared" si="12"/>
        <v>22866</v>
      </c>
      <c r="AA73" s="41">
        <f t="shared" si="12"/>
        <v>23217</v>
      </c>
      <c r="AB73" s="41">
        <f t="shared" si="12"/>
        <v>-546348</v>
      </c>
      <c r="AC73" s="41">
        <f t="shared" si="12"/>
        <v>-2716979</v>
      </c>
      <c r="AD73" s="41">
        <f t="shared" si="12"/>
        <v>-107096</v>
      </c>
      <c r="AE73" s="41">
        <f t="shared" si="12"/>
        <v>-927762</v>
      </c>
      <c r="AF73" s="41">
        <f t="shared" ref="AF73:AU73" si="30">AF81-AF49-AF41-AF33-AF25-AF17-AF9-AF57-AF65</f>
        <v>-341676</v>
      </c>
      <c r="AG73" s="41">
        <f t="shared" si="30"/>
        <v>-540419</v>
      </c>
      <c r="AH73" s="41">
        <f t="shared" si="30"/>
        <v>864</v>
      </c>
      <c r="AI73" s="41">
        <f t="shared" si="30"/>
        <v>2342</v>
      </c>
      <c r="AJ73" s="41">
        <f t="shared" si="30"/>
        <v>22959</v>
      </c>
      <c r="AK73" s="41">
        <f t="shared" si="30"/>
        <v>51717</v>
      </c>
      <c r="AL73" s="41">
        <f t="shared" si="30"/>
        <v>26610</v>
      </c>
      <c r="AM73" s="41">
        <f t="shared" si="30"/>
        <v>60287</v>
      </c>
      <c r="AN73" s="41">
        <f t="shared" si="30"/>
        <v>0</v>
      </c>
      <c r="AO73" s="41">
        <f t="shared" si="30"/>
        <v>0</v>
      </c>
      <c r="AP73" s="41">
        <f t="shared" si="30"/>
        <v>-417553.85900000046</v>
      </c>
      <c r="AQ73" s="41">
        <f t="shared" si="30"/>
        <v>1853387.922999999</v>
      </c>
      <c r="AR73" s="41">
        <f t="shared" si="30"/>
        <v>458013</v>
      </c>
      <c r="AS73" s="41">
        <f t="shared" si="30"/>
        <v>181206</v>
      </c>
      <c r="AT73" s="41">
        <f t="shared" si="30"/>
        <v>-338195</v>
      </c>
      <c r="AU73" s="41">
        <f t="shared" si="30"/>
        <v>97767</v>
      </c>
      <c r="AV73" s="41">
        <f t="shared" si="14"/>
        <v>-165</v>
      </c>
      <c r="AW73" s="41">
        <f t="shared" si="14"/>
        <v>137</v>
      </c>
      <c r="AX73" s="41">
        <f t="shared" si="15"/>
        <v>-259511</v>
      </c>
      <c r="AY73" s="41">
        <f t="shared" si="15"/>
        <v>-1046364</v>
      </c>
      <c r="AZ73" s="41">
        <f t="shared" ref="AZ73:BI73" si="31">AZ81-AZ49-AZ41-AZ33-AZ25-AZ17-AZ9-AZ57-AZ65</f>
        <v>16943</v>
      </c>
      <c r="BA73" s="41">
        <f t="shared" si="31"/>
        <v>27043</v>
      </c>
      <c r="BB73" s="41">
        <f t="shared" si="17"/>
        <v>4687</v>
      </c>
      <c r="BC73" s="41">
        <f t="shared" si="17"/>
        <v>2834</v>
      </c>
      <c r="BD73" s="41">
        <f t="shared" si="17"/>
        <v>-26802</v>
      </c>
      <c r="BE73" s="41">
        <f t="shared" si="17"/>
        <v>-636051</v>
      </c>
      <c r="BF73" s="41">
        <f t="shared" si="17"/>
        <v>19688</v>
      </c>
      <c r="BG73" s="41">
        <f t="shared" si="17"/>
        <v>21239</v>
      </c>
      <c r="BH73" s="41">
        <f t="shared" si="31"/>
        <v>541181</v>
      </c>
      <c r="BI73" s="41">
        <f t="shared" si="31"/>
        <v>1365767</v>
      </c>
      <c r="BJ73" s="41">
        <f t="shared" si="18"/>
        <v>-35702</v>
      </c>
      <c r="BK73" s="41">
        <f t="shared" si="18"/>
        <v>-138536</v>
      </c>
      <c r="BL73" s="41">
        <f t="shared" si="18"/>
        <v>1081514</v>
      </c>
      <c r="BM73" s="41">
        <f t="shared" si="18"/>
        <v>1296556</v>
      </c>
      <c r="BN73" s="41">
        <f t="shared" si="18"/>
        <v>-900382</v>
      </c>
      <c r="BO73" s="41">
        <f t="shared" si="18"/>
        <v>-1105509</v>
      </c>
      <c r="BP73" s="41">
        <f t="shared" si="19"/>
        <v>-390194.93900000048</v>
      </c>
      <c r="BQ73" s="41">
        <f t="shared" si="19"/>
        <v>-2712364.8570000012</v>
      </c>
    </row>
    <row r="75" spans="1:69" x14ac:dyDescent="0.25">
      <c r="A75" s="10" t="s">
        <v>60</v>
      </c>
    </row>
    <row r="76" spans="1:69" s="12" customFormat="1" x14ac:dyDescent="0.25">
      <c r="A76" s="20" t="s">
        <v>0</v>
      </c>
      <c r="B76" s="160" t="s">
        <v>1</v>
      </c>
      <c r="C76" s="160"/>
      <c r="D76" s="160" t="s">
        <v>2</v>
      </c>
      <c r="E76" s="160"/>
      <c r="F76" s="160" t="s">
        <v>3</v>
      </c>
      <c r="G76" s="160"/>
      <c r="H76" s="160" t="s">
        <v>4</v>
      </c>
      <c r="I76" s="160"/>
      <c r="J76" s="160" t="s">
        <v>5</v>
      </c>
      <c r="K76" s="160"/>
      <c r="L76" s="160" t="s">
        <v>6</v>
      </c>
      <c r="M76" s="160"/>
      <c r="N76" s="160" t="s">
        <v>7</v>
      </c>
      <c r="O76" s="160"/>
      <c r="P76" s="160" t="s">
        <v>8</v>
      </c>
      <c r="Q76" s="160"/>
      <c r="R76" s="160" t="s">
        <v>9</v>
      </c>
      <c r="S76" s="160"/>
      <c r="T76" s="160" t="s">
        <v>10</v>
      </c>
      <c r="U76" s="160"/>
      <c r="V76" s="160" t="s">
        <v>11</v>
      </c>
      <c r="W76" s="160"/>
      <c r="X76" s="160" t="s">
        <v>12</v>
      </c>
      <c r="Y76" s="160"/>
      <c r="Z76" s="160" t="s">
        <v>13</v>
      </c>
      <c r="AA76" s="160"/>
      <c r="AB76" s="160" t="s">
        <v>14</v>
      </c>
      <c r="AC76" s="160"/>
      <c r="AD76" s="160" t="s">
        <v>15</v>
      </c>
      <c r="AE76" s="160"/>
      <c r="AF76" s="160" t="s">
        <v>16</v>
      </c>
      <c r="AG76" s="160"/>
      <c r="AH76" s="160" t="s">
        <v>17</v>
      </c>
      <c r="AI76" s="160"/>
      <c r="AJ76" s="160" t="s">
        <v>18</v>
      </c>
      <c r="AK76" s="160"/>
      <c r="AL76" s="160" t="s">
        <v>19</v>
      </c>
      <c r="AM76" s="160"/>
      <c r="AN76" s="160" t="s">
        <v>20</v>
      </c>
      <c r="AO76" s="160"/>
      <c r="AP76" s="160" t="s">
        <v>21</v>
      </c>
      <c r="AQ76" s="160"/>
      <c r="AR76" s="160" t="s">
        <v>109</v>
      </c>
      <c r="AS76" s="160"/>
      <c r="AT76" s="160" t="s">
        <v>110</v>
      </c>
      <c r="AU76" s="160"/>
      <c r="AV76" s="160" t="s">
        <v>22</v>
      </c>
      <c r="AW76" s="160"/>
      <c r="AX76" s="160" t="s">
        <v>23</v>
      </c>
      <c r="AY76" s="160"/>
      <c r="AZ76" s="160" t="s">
        <v>24</v>
      </c>
      <c r="BA76" s="160"/>
      <c r="BB76" s="160" t="s">
        <v>25</v>
      </c>
      <c r="BC76" s="160"/>
      <c r="BD76" s="160" t="s">
        <v>26</v>
      </c>
      <c r="BE76" s="160"/>
      <c r="BF76" s="160" t="s">
        <v>27</v>
      </c>
      <c r="BG76" s="160"/>
      <c r="BH76" s="160" t="s">
        <v>28</v>
      </c>
      <c r="BI76" s="160"/>
      <c r="BJ76" s="160" t="s">
        <v>29</v>
      </c>
      <c r="BK76" s="160"/>
      <c r="BL76" s="160" t="s">
        <v>30</v>
      </c>
      <c r="BM76" s="160"/>
      <c r="BN76" s="160" t="s">
        <v>31</v>
      </c>
      <c r="BO76" s="160"/>
      <c r="BP76" s="160" t="s">
        <v>150</v>
      </c>
      <c r="BQ76" s="160"/>
    </row>
    <row r="77" spans="1:69" s="39" customFormat="1" ht="44.25" customHeight="1" x14ac:dyDescent="0.25">
      <c r="A77" s="40"/>
      <c r="B77" s="40" t="s">
        <v>161</v>
      </c>
      <c r="C77" s="40" t="s">
        <v>162</v>
      </c>
      <c r="D77" s="40" t="s">
        <v>161</v>
      </c>
      <c r="E77" s="40" t="s">
        <v>162</v>
      </c>
      <c r="F77" s="40" t="s">
        <v>161</v>
      </c>
      <c r="G77" s="40" t="s">
        <v>162</v>
      </c>
      <c r="H77" s="40" t="s">
        <v>161</v>
      </c>
      <c r="I77" s="40" t="s">
        <v>162</v>
      </c>
      <c r="J77" s="40" t="s">
        <v>161</v>
      </c>
      <c r="K77" s="40" t="s">
        <v>162</v>
      </c>
      <c r="L77" s="40" t="s">
        <v>161</v>
      </c>
      <c r="M77" s="40" t="s">
        <v>162</v>
      </c>
      <c r="N77" s="40" t="s">
        <v>161</v>
      </c>
      <c r="O77" s="40" t="s">
        <v>162</v>
      </c>
      <c r="P77" s="40" t="s">
        <v>161</v>
      </c>
      <c r="Q77" s="40" t="s">
        <v>162</v>
      </c>
      <c r="R77" s="40" t="s">
        <v>161</v>
      </c>
      <c r="S77" s="40" t="s">
        <v>162</v>
      </c>
      <c r="T77" s="40" t="s">
        <v>161</v>
      </c>
      <c r="U77" s="40" t="s">
        <v>162</v>
      </c>
      <c r="V77" s="40" t="s">
        <v>161</v>
      </c>
      <c r="W77" s="40" t="s">
        <v>162</v>
      </c>
      <c r="X77" s="40" t="s">
        <v>161</v>
      </c>
      <c r="Y77" s="40" t="s">
        <v>162</v>
      </c>
      <c r="Z77" s="40" t="s">
        <v>161</v>
      </c>
      <c r="AA77" s="40" t="s">
        <v>162</v>
      </c>
      <c r="AB77" s="40" t="s">
        <v>161</v>
      </c>
      <c r="AC77" s="40" t="s">
        <v>162</v>
      </c>
      <c r="AD77" s="40" t="s">
        <v>161</v>
      </c>
      <c r="AE77" s="40" t="s">
        <v>162</v>
      </c>
      <c r="AF77" s="40" t="s">
        <v>161</v>
      </c>
      <c r="AG77" s="40" t="s">
        <v>162</v>
      </c>
      <c r="AH77" s="40" t="s">
        <v>161</v>
      </c>
      <c r="AI77" s="40" t="s">
        <v>162</v>
      </c>
      <c r="AJ77" s="40" t="s">
        <v>161</v>
      </c>
      <c r="AK77" s="40" t="s">
        <v>162</v>
      </c>
      <c r="AL77" s="40" t="s">
        <v>161</v>
      </c>
      <c r="AM77" s="40" t="s">
        <v>162</v>
      </c>
      <c r="AN77" s="40" t="s">
        <v>161</v>
      </c>
      <c r="AO77" s="40" t="s">
        <v>162</v>
      </c>
      <c r="AP77" s="40" t="s">
        <v>161</v>
      </c>
      <c r="AQ77" s="40" t="s">
        <v>162</v>
      </c>
      <c r="AR77" s="40" t="s">
        <v>161</v>
      </c>
      <c r="AS77" s="40" t="s">
        <v>162</v>
      </c>
      <c r="AT77" s="40" t="s">
        <v>161</v>
      </c>
      <c r="AU77" s="40" t="s">
        <v>162</v>
      </c>
      <c r="AV77" s="40" t="s">
        <v>161</v>
      </c>
      <c r="AW77" s="40" t="s">
        <v>162</v>
      </c>
      <c r="AX77" s="40" t="s">
        <v>161</v>
      </c>
      <c r="AY77" s="40" t="s">
        <v>162</v>
      </c>
      <c r="AZ77" s="40" t="s">
        <v>161</v>
      </c>
      <c r="BA77" s="40" t="s">
        <v>162</v>
      </c>
      <c r="BB77" s="40" t="s">
        <v>161</v>
      </c>
      <c r="BC77" s="40" t="s">
        <v>162</v>
      </c>
      <c r="BD77" s="40" t="s">
        <v>161</v>
      </c>
      <c r="BE77" s="40" t="s">
        <v>162</v>
      </c>
      <c r="BF77" s="40" t="s">
        <v>161</v>
      </c>
      <c r="BG77" s="40" t="s">
        <v>162</v>
      </c>
      <c r="BH77" s="40" t="s">
        <v>161</v>
      </c>
      <c r="BI77" s="40" t="s">
        <v>162</v>
      </c>
      <c r="BJ77" s="40" t="s">
        <v>161</v>
      </c>
      <c r="BK77" s="40" t="s">
        <v>162</v>
      </c>
      <c r="BL77" s="40" t="s">
        <v>161</v>
      </c>
      <c r="BM77" s="40" t="s">
        <v>162</v>
      </c>
      <c r="BN77" s="40" t="s">
        <v>161</v>
      </c>
      <c r="BO77" s="40" t="s">
        <v>162</v>
      </c>
      <c r="BP77" s="40" t="s">
        <v>161</v>
      </c>
      <c r="BQ77" s="40" t="s">
        <v>162</v>
      </c>
    </row>
    <row r="78" spans="1:69" x14ac:dyDescent="0.25">
      <c r="A78" s="41" t="s">
        <v>67</v>
      </c>
      <c r="B78" s="41"/>
      <c r="C78" s="41"/>
      <c r="D78" s="41">
        <v>67172</v>
      </c>
      <c r="E78" s="41">
        <v>203306</v>
      </c>
      <c r="F78" s="41">
        <v>24352</v>
      </c>
      <c r="G78" s="41">
        <v>86432</v>
      </c>
      <c r="H78" s="41">
        <v>756508</v>
      </c>
      <c r="I78" s="41">
        <v>1964901</v>
      </c>
      <c r="J78" s="68">
        <v>2455748</v>
      </c>
      <c r="K78" s="68">
        <v>5909539</v>
      </c>
      <c r="L78" s="41">
        <v>633376</v>
      </c>
      <c r="M78" s="41">
        <v>1118794</v>
      </c>
      <c r="N78" s="41">
        <v>496016</v>
      </c>
      <c r="O78" s="41">
        <v>1559362</v>
      </c>
      <c r="P78" s="41">
        <v>142677</v>
      </c>
      <c r="Q78" s="41">
        <v>404722</v>
      </c>
      <c r="R78" s="41">
        <v>154378</v>
      </c>
      <c r="S78" s="41">
        <v>219326</v>
      </c>
      <c r="T78" s="41">
        <v>155</v>
      </c>
      <c r="U78" s="41">
        <v>155</v>
      </c>
      <c r="V78" s="41">
        <v>23710.31</v>
      </c>
      <c r="W78" s="41">
        <v>49967.06</v>
      </c>
      <c r="X78" s="41">
        <v>345279</v>
      </c>
      <c r="Y78" s="41">
        <v>1125003</v>
      </c>
      <c r="Z78" s="41">
        <v>25235</v>
      </c>
      <c r="AA78" s="41">
        <v>25675</v>
      </c>
      <c r="AB78" s="41">
        <v>1846001</v>
      </c>
      <c r="AC78" s="41">
        <v>5031717</v>
      </c>
      <c r="AD78" s="41">
        <v>2601541</v>
      </c>
      <c r="AE78" s="41">
        <v>7118424</v>
      </c>
      <c r="AF78" s="41">
        <v>1539133</v>
      </c>
      <c r="AG78" s="41">
        <v>3113429</v>
      </c>
      <c r="AH78" s="41">
        <v>60299</v>
      </c>
      <c r="AI78" s="41">
        <v>182269</v>
      </c>
      <c r="AJ78" s="41">
        <v>280194</v>
      </c>
      <c r="AK78" s="41">
        <v>664918</v>
      </c>
      <c r="AL78" s="41">
        <v>104512</v>
      </c>
      <c r="AM78" s="41">
        <v>279085</v>
      </c>
      <c r="AN78" s="41">
        <v>284080</v>
      </c>
      <c r="AO78" s="41">
        <v>839060</v>
      </c>
      <c r="AP78" s="41">
        <v>8612803.091</v>
      </c>
      <c r="AQ78" s="41">
        <v>14389429.224000001</v>
      </c>
      <c r="AR78" s="41">
        <v>6483464</v>
      </c>
      <c r="AS78" s="41">
        <v>21059085</v>
      </c>
      <c r="AT78" s="41">
        <v>2488409</v>
      </c>
      <c r="AU78" s="41">
        <v>7486155</v>
      </c>
      <c r="AV78" s="41">
        <v>17259</v>
      </c>
      <c r="AW78" s="41">
        <v>51160</v>
      </c>
      <c r="AX78" s="41">
        <v>1070873</v>
      </c>
      <c r="AY78" s="41">
        <v>2560969</v>
      </c>
      <c r="AZ78" s="41">
        <v>546629</v>
      </c>
      <c r="BA78" s="41">
        <v>1429167</v>
      </c>
      <c r="BB78" s="41">
        <v>620453</v>
      </c>
      <c r="BC78" s="41">
        <v>1860968</v>
      </c>
      <c r="BD78" s="41">
        <v>1149282</v>
      </c>
      <c r="BE78" s="41">
        <v>3014847</v>
      </c>
      <c r="BF78" s="41">
        <v>260045</v>
      </c>
      <c r="BG78" s="41">
        <v>720687</v>
      </c>
      <c r="BH78" s="41">
        <v>2088059</v>
      </c>
      <c r="BI78" s="41">
        <v>5037076</v>
      </c>
      <c r="BJ78" s="41">
        <v>1528018</v>
      </c>
      <c r="BK78" s="41">
        <v>4707539</v>
      </c>
      <c r="BL78" s="41">
        <v>3757329</v>
      </c>
      <c r="BM78" s="41">
        <v>10025189</v>
      </c>
      <c r="BN78" s="41">
        <v>266920</v>
      </c>
      <c r="BO78" s="41">
        <v>831956</v>
      </c>
      <c r="BP78" s="41">
        <f t="shared" ref="BP78:BQ81" si="32">B78+D78+F78+H78+J78+L78+N78+P78+R78+T78+V78+X78+Z78+AB78+AD78+AF78+AH78+AJ78+AL78+AN78+AP78+AR78+AT78+AV78+AX78+AZ78+BB78+BD78+BF78+BH78+BJ78+BL78+BN78</f>
        <v>40729909.401000001</v>
      </c>
      <c r="BQ78" s="41">
        <f t="shared" si="32"/>
        <v>103070311.28400001</v>
      </c>
    </row>
    <row r="79" spans="1:69" x14ac:dyDescent="0.25">
      <c r="A79" s="41" t="s">
        <v>68</v>
      </c>
      <c r="B79" s="41"/>
      <c r="C79" s="41"/>
      <c r="D79" s="41"/>
      <c r="E79" s="41"/>
      <c r="F79" s="41">
        <v>-17427</v>
      </c>
      <c r="G79" s="41">
        <v>7287</v>
      </c>
      <c r="H79" s="41">
        <v>11747</v>
      </c>
      <c r="I79" s="41">
        <v>3028</v>
      </c>
      <c r="J79" s="70">
        <v>17586</v>
      </c>
      <c r="K79" s="70">
        <v>52004</v>
      </c>
      <c r="L79" s="41">
        <v>4542</v>
      </c>
      <c r="M79" s="41">
        <v>13126</v>
      </c>
      <c r="N79" s="41">
        <v>352</v>
      </c>
      <c r="O79" s="41">
        <v>1763</v>
      </c>
      <c r="P79" s="41"/>
      <c r="Q79" s="41"/>
      <c r="R79" s="41"/>
      <c r="S79" s="41"/>
      <c r="T79" s="41"/>
      <c r="U79" s="41"/>
      <c r="V79" s="41"/>
      <c r="W79" s="41"/>
      <c r="X79" s="41">
        <v>8448</v>
      </c>
      <c r="Y79" s="41">
        <v>21323</v>
      </c>
      <c r="Z79" s="41">
        <v>8553</v>
      </c>
      <c r="AA79" s="41">
        <v>10083</v>
      </c>
      <c r="AB79" s="41">
        <v>17775</v>
      </c>
      <c r="AC79" s="41">
        <v>90361</v>
      </c>
      <c r="AD79" s="41">
        <v>35301</v>
      </c>
      <c r="AE79" s="41">
        <v>316566</v>
      </c>
      <c r="AF79" s="41">
        <v>2860</v>
      </c>
      <c r="AG79" s="41">
        <v>7538</v>
      </c>
      <c r="AH79" s="41">
        <v>89</v>
      </c>
      <c r="AI79" s="41">
        <v>448</v>
      </c>
      <c r="AJ79" s="41">
        <v>187</v>
      </c>
      <c r="AK79" s="41">
        <v>3226</v>
      </c>
      <c r="AL79" s="41">
        <v>49</v>
      </c>
      <c r="AM79" s="41">
        <v>149</v>
      </c>
      <c r="AN79" s="41"/>
      <c r="AO79" s="41"/>
      <c r="AP79" s="41">
        <v>292270.73699999996</v>
      </c>
      <c r="AQ79" s="41">
        <v>573857.12100000004</v>
      </c>
      <c r="AR79" s="41">
        <v>820604</v>
      </c>
      <c r="AS79" s="41">
        <v>2435400</v>
      </c>
      <c r="AT79" s="41">
        <v>168387</v>
      </c>
      <c r="AU79" s="41">
        <v>630538</v>
      </c>
      <c r="AV79" s="41">
        <v>5868</v>
      </c>
      <c r="AW79" s="41">
        <v>17350</v>
      </c>
      <c r="AX79" s="41">
        <v>9390</v>
      </c>
      <c r="AY79" s="41">
        <v>13961</v>
      </c>
      <c r="AZ79" s="41">
        <v>16851</v>
      </c>
      <c r="BA79" s="41">
        <v>51027</v>
      </c>
      <c r="BB79" s="41">
        <v>4046</v>
      </c>
      <c r="BC79" s="41">
        <v>18191</v>
      </c>
      <c r="BD79" s="41">
        <v>2752</v>
      </c>
      <c r="BE79" s="41">
        <v>6831</v>
      </c>
      <c r="BF79" s="41">
        <v>1585</v>
      </c>
      <c r="BG79" s="41">
        <v>9011</v>
      </c>
      <c r="BH79" s="41"/>
      <c r="BI79" s="41"/>
      <c r="BJ79" s="41">
        <v>37912</v>
      </c>
      <c r="BK79" s="41">
        <v>163976</v>
      </c>
      <c r="BL79" s="41">
        <v>151299</v>
      </c>
      <c r="BM79" s="41">
        <v>502447</v>
      </c>
      <c r="BN79" s="41">
        <v>536</v>
      </c>
      <c r="BO79" s="41">
        <v>3362</v>
      </c>
      <c r="BP79" s="41">
        <f t="shared" si="32"/>
        <v>1601562.737</v>
      </c>
      <c r="BQ79" s="41">
        <f t="shared" si="32"/>
        <v>4952853.1210000003</v>
      </c>
    </row>
    <row r="80" spans="1:69" x14ac:dyDescent="0.25">
      <c r="A80" s="41" t="s">
        <v>69</v>
      </c>
      <c r="B80" s="41">
        <v>-67</v>
      </c>
      <c r="C80" s="41">
        <v>-68</v>
      </c>
      <c r="D80" s="41">
        <v>4667</v>
      </c>
      <c r="E80" s="41">
        <v>14133</v>
      </c>
      <c r="F80" s="41">
        <v>564823</v>
      </c>
      <c r="G80" s="41">
        <v>5498819</v>
      </c>
      <c r="H80" s="41">
        <v>133530</v>
      </c>
      <c r="I80" s="41">
        <v>854015</v>
      </c>
      <c r="J80" s="68">
        <v>607259</v>
      </c>
      <c r="K80" s="68">
        <v>2780832</v>
      </c>
      <c r="L80" s="41">
        <v>188213</v>
      </c>
      <c r="M80" s="41">
        <v>517481</v>
      </c>
      <c r="N80" s="41">
        <v>-35810</v>
      </c>
      <c r="O80" s="41">
        <v>1137834</v>
      </c>
      <c r="P80" s="41">
        <v>12890</v>
      </c>
      <c r="Q80" s="41">
        <v>28732</v>
      </c>
      <c r="R80" s="41">
        <v>221393</v>
      </c>
      <c r="S80" s="41">
        <v>322301</v>
      </c>
      <c r="T80" s="41">
        <v>6044</v>
      </c>
      <c r="U80" s="41">
        <v>6044</v>
      </c>
      <c r="V80" s="41">
        <v>212020.39</v>
      </c>
      <c r="W80" s="41">
        <v>630964.28</v>
      </c>
      <c r="X80" s="41">
        <v>244973</v>
      </c>
      <c r="Y80" s="41">
        <v>1098105</v>
      </c>
      <c r="Z80" s="41">
        <v>20967</v>
      </c>
      <c r="AA80" s="41">
        <v>23123</v>
      </c>
      <c r="AB80" s="41">
        <v>-2119696</v>
      </c>
      <c r="AC80" s="41">
        <v>-7806319</v>
      </c>
      <c r="AD80" s="41">
        <v>2784043</v>
      </c>
      <c r="AE80" s="41">
        <v>10274535</v>
      </c>
      <c r="AF80" s="41">
        <v>708903</v>
      </c>
      <c r="AG80" s="41">
        <v>1925532</v>
      </c>
      <c r="AH80" s="41">
        <v>12135</v>
      </c>
      <c r="AI80" s="41">
        <v>48624</v>
      </c>
      <c r="AJ80" s="41">
        <v>28937</v>
      </c>
      <c r="AK80" s="41">
        <v>123199</v>
      </c>
      <c r="AL80" s="41">
        <v>-105399</v>
      </c>
      <c r="AM80" s="41">
        <v>-341509</v>
      </c>
      <c r="AN80" s="41">
        <v>200266</v>
      </c>
      <c r="AO80" s="41">
        <v>612333</v>
      </c>
      <c r="AP80" s="41">
        <v>174324.04500000004</v>
      </c>
      <c r="AQ80" s="41">
        <v>3959634.9040000001</v>
      </c>
      <c r="AR80" s="41">
        <v>1288083</v>
      </c>
      <c r="AS80" s="41">
        <v>5254392</v>
      </c>
      <c r="AT80" s="41">
        <v>757023</v>
      </c>
      <c r="AU80" s="41">
        <v>1744675</v>
      </c>
      <c r="AV80" s="41">
        <v>6755</v>
      </c>
      <c r="AW80" s="41">
        <v>16637</v>
      </c>
      <c r="AX80" s="41">
        <v>778171</v>
      </c>
      <c r="AY80" s="41">
        <v>3150662</v>
      </c>
      <c r="AZ80" s="41">
        <v>619027</v>
      </c>
      <c r="BA80" s="41">
        <v>1893361</v>
      </c>
      <c r="BB80" s="41">
        <v>-340728</v>
      </c>
      <c r="BC80" s="41">
        <v>-1357728</v>
      </c>
      <c r="BD80" s="41">
        <v>847808</v>
      </c>
      <c r="BE80" s="41">
        <v>4429278</v>
      </c>
      <c r="BF80" s="41">
        <v>46928</v>
      </c>
      <c r="BG80" s="41">
        <v>163605</v>
      </c>
      <c r="BH80" s="41">
        <v>1546877</v>
      </c>
      <c r="BI80" s="41">
        <v>3671309</v>
      </c>
      <c r="BJ80" s="41">
        <v>910341</v>
      </c>
      <c r="BK80" s="41">
        <v>3326382</v>
      </c>
      <c r="BL80" s="41">
        <v>819605</v>
      </c>
      <c r="BM80" s="41">
        <v>3851764</v>
      </c>
      <c r="BN80" s="41">
        <v>975727</v>
      </c>
      <c r="BO80" s="41">
        <v>1374674</v>
      </c>
      <c r="BP80" s="41">
        <f t="shared" si="32"/>
        <v>12120032.435000001</v>
      </c>
      <c r="BQ80" s="41">
        <f t="shared" si="32"/>
        <v>49227356.184</v>
      </c>
    </row>
    <row r="81" spans="1:69" x14ac:dyDescent="0.25">
      <c r="A81" s="41" t="s">
        <v>70</v>
      </c>
      <c r="B81" s="41">
        <f>-67107/1000</f>
        <v>-67.106999999999999</v>
      </c>
      <c r="C81" s="41">
        <f>-68371/1000</f>
        <v>-68.370999999999995</v>
      </c>
      <c r="D81" s="41">
        <v>62504</v>
      </c>
      <c r="E81" s="41">
        <v>189173</v>
      </c>
      <c r="F81" s="41">
        <v>-557898</v>
      </c>
      <c r="G81" s="41">
        <v>-5405100</v>
      </c>
      <c r="H81" s="41">
        <v>634725</v>
      </c>
      <c r="I81" s="41">
        <v>1113914</v>
      </c>
      <c r="J81" s="68">
        <v>1866075</v>
      </c>
      <c r="K81" s="68">
        <v>3180711</v>
      </c>
      <c r="L81" s="41">
        <v>449706</v>
      </c>
      <c r="M81" s="41">
        <v>614439</v>
      </c>
      <c r="N81" s="41">
        <v>532178</v>
      </c>
      <c r="O81" s="41">
        <v>423291</v>
      </c>
      <c r="P81" s="41">
        <v>129787</v>
      </c>
      <c r="Q81" s="41">
        <v>375990</v>
      </c>
      <c r="R81" s="41">
        <f>R78-R80</f>
        <v>-67015</v>
      </c>
      <c r="S81" s="41">
        <f>S78-S80</f>
        <v>-102975</v>
      </c>
      <c r="T81" s="41">
        <v>-5889</v>
      </c>
      <c r="U81" s="41">
        <v>-5889</v>
      </c>
      <c r="V81" s="41">
        <v>-188310.08</v>
      </c>
      <c r="W81" s="41">
        <v>580997.22</v>
      </c>
      <c r="X81" s="41">
        <v>108754</v>
      </c>
      <c r="Y81" s="41">
        <v>48221</v>
      </c>
      <c r="Z81" s="41">
        <v>12822</v>
      </c>
      <c r="AA81" s="41">
        <v>12635</v>
      </c>
      <c r="AB81" s="41">
        <v>-255920</v>
      </c>
      <c r="AC81" s="41">
        <v>-2684241</v>
      </c>
      <c r="AD81" s="41">
        <v>-147201</v>
      </c>
      <c r="AE81" s="41">
        <v>-2839545</v>
      </c>
      <c r="AF81" s="41">
        <v>833090</v>
      </c>
      <c r="AG81" s="41">
        <v>1195435</v>
      </c>
      <c r="AH81" s="41">
        <v>48254</v>
      </c>
      <c r="AI81" s="41">
        <v>134093</v>
      </c>
      <c r="AJ81" s="41">
        <v>251445</v>
      </c>
      <c r="AK81" s="41">
        <v>544946</v>
      </c>
      <c r="AL81" s="41">
        <v>-838</v>
      </c>
      <c r="AM81" s="41">
        <v>-62275</v>
      </c>
      <c r="AN81" s="41">
        <v>83814</v>
      </c>
      <c r="AO81" s="41">
        <v>226727</v>
      </c>
      <c r="AP81" s="41">
        <v>8730749.7829999998</v>
      </c>
      <c r="AQ81" s="41">
        <v>11003651.441</v>
      </c>
      <c r="AR81" s="41">
        <v>6015985</v>
      </c>
      <c r="AS81" s="41">
        <v>18240093</v>
      </c>
      <c r="AT81" s="41">
        <v>1899773</v>
      </c>
      <c r="AU81" s="41">
        <v>6372018</v>
      </c>
      <c r="AV81" s="41">
        <v>16372</v>
      </c>
      <c r="AW81" s="41">
        <v>51873</v>
      </c>
      <c r="AX81" s="41">
        <v>302092</v>
      </c>
      <c r="AY81" s="41">
        <v>-575732</v>
      </c>
      <c r="AZ81" s="41">
        <v>-55547</v>
      </c>
      <c r="BA81" s="41">
        <v>-413167</v>
      </c>
      <c r="BB81" s="41">
        <v>283771</v>
      </c>
      <c r="BC81" s="41">
        <v>521430</v>
      </c>
      <c r="BD81" s="41">
        <v>304226</v>
      </c>
      <c r="BE81" s="41">
        <v>-1407600</v>
      </c>
      <c r="BF81" s="41">
        <v>214702</v>
      </c>
      <c r="BG81" s="41">
        <v>566093</v>
      </c>
      <c r="BH81" s="41">
        <v>541181</v>
      </c>
      <c r="BI81" s="41">
        <v>1365767</v>
      </c>
      <c r="BJ81" s="41">
        <v>655589</v>
      </c>
      <c r="BK81" s="41">
        <v>1545133</v>
      </c>
      <c r="BL81" s="41">
        <v>3089023</v>
      </c>
      <c r="BM81" s="41">
        <v>6675872</v>
      </c>
      <c r="BN81" s="41">
        <v>-708271</v>
      </c>
      <c r="BO81" s="41">
        <v>-539356</v>
      </c>
      <c r="BP81" s="41">
        <f t="shared" si="32"/>
        <v>25079661.596000001</v>
      </c>
      <c r="BQ81" s="41">
        <f t="shared" si="32"/>
        <v>40946554.289999999</v>
      </c>
    </row>
  </sheetData>
  <mergeCells count="340">
    <mergeCell ref="BH52:BI52"/>
    <mergeCell ref="F60:G60"/>
    <mergeCell ref="H60:I60"/>
    <mergeCell ref="J60:K60"/>
    <mergeCell ref="L60:M60"/>
    <mergeCell ref="N60:O60"/>
    <mergeCell ref="P60:Q60"/>
    <mergeCell ref="BN44:BO44"/>
    <mergeCell ref="BB44:BC44"/>
    <mergeCell ref="BD44:BE44"/>
    <mergeCell ref="BF44:BG44"/>
    <mergeCell ref="BH44:BI44"/>
    <mergeCell ref="BJ44:BK44"/>
    <mergeCell ref="BL44:BM44"/>
    <mergeCell ref="BD60:BE60"/>
    <mergeCell ref="BF60:BG60"/>
    <mergeCell ref="BH60:BI60"/>
    <mergeCell ref="BJ60:BK60"/>
    <mergeCell ref="BL60:BM60"/>
    <mergeCell ref="BN60:BO60"/>
    <mergeCell ref="BL52:BM52"/>
    <mergeCell ref="BN52:BO52"/>
    <mergeCell ref="BJ52:BK52"/>
    <mergeCell ref="BD52:BE52"/>
    <mergeCell ref="BF52:BG52"/>
    <mergeCell ref="AZ60:BA60"/>
    <mergeCell ref="BB60:BC60"/>
    <mergeCell ref="T60:U60"/>
    <mergeCell ref="V60:W60"/>
    <mergeCell ref="X60:Y60"/>
    <mergeCell ref="Z60:AA60"/>
    <mergeCell ref="AB60:AC60"/>
    <mergeCell ref="AD60:AE60"/>
    <mergeCell ref="AF60:AG60"/>
    <mergeCell ref="AL60:AM60"/>
    <mergeCell ref="AN60:AO60"/>
    <mergeCell ref="AP60:AQ60"/>
    <mergeCell ref="AR60:AS60"/>
    <mergeCell ref="AT60:AU60"/>
    <mergeCell ref="AV60:AW60"/>
    <mergeCell ref="AX60:AY60"/>
    <mergeCell ref="AZ52:BA52"/>
    <mergeCell ref="BB52:BC52"/>
    <mergeCell ref="BP68:BQ68"/>
    <mergeCell ref="BP76:BQ76"/>
    <mergeCell ref="BP60:BQ60"/>
    <mergeCell ref="B4:C4"/>
    <mergeCell ref="D4:E4"/>
    <mergeCell ref="F4:G4"/>
    <mergeCell ref="H4:I4"/>
    <mergeCell ref="J4:K4"/>
    <mergeCell ref="L4:M4"/>
    <mergeCell ref="AD4:AE4"/>
    <mergeCell ref="R60:S60"/>
    <mergeCell ref="BP4:BQ4"/>
    <mergeCell ref="BP12:BQ12"/>
    <mergeCell ref="BP20:BQ20"/>
    <mergeCell ref="BP28:BQ28"/>
    <mergeCell ref="BP36:BQ36"/>
    <mergeCell ref="BP44:BQ44"/>
    <mergeCell ref="BP52:BQ52"/>
    <mergeCell ref="AH4:AI4"/>
    <mergeCell ref="AJ4:AK4"/>
    <mergeCell ref="AH60:AI60"/>
    <mergeCell ref="AJ60:AK60"/>
    <mergeCell ref="B60:C60"/>
    <mergeCell ref="D60:E60"/>
    <mergeCell ref="BL4:BM4"/>
    <mergeCell ref="BN4:BO4"/>
    <mergeCell ref="BB4:BC4"/>
    <mergeCell ref="BD4:BE4"/>
    <mergeCell ref="BF4:BG4"/>
    <mergeCell ref="BH4:BI4"/>
    <mergeCell ref="BJ4:BK4"/>
    <mergeCell ref="AF4:AG4"/>
    <mergeCell ref="AL4:AM4"/>
    <mergeCell ref="AZ4:BA4"/>
    <mergeCell ref="AN4:AO4"/>
    <mergeCell ref="AP4:AQ4"/>
    <mergeCell ref="AR4:AS4"/>
    <mergeCell ref="AT4:AU4"/>
    <mergeCell ref="AV4:AW4"/>
    <mergeCell ref="AX4:AY4"/>
    <mergeCell ref="Z4:AA4"/>
    <mergeCell ref="N4:O4"/>
    <mergeCell ref="P4:Q4"/>
    <mergeCell ref="R4:S4"/>
    <mergeCell ref="T4:U4"/>
    <mergeCell ref="V4:W4"/>
    <mergeCell ref="X4:Y4"/>
    <mergeCell ref="R12:S12"/>
    <mergeCell ref="T12:U12"/>
    <mergeCell ref="V12:W12"/>
    <mergeCell ref="X12:Y12"/>
    <mergeCell ref="Z12:AA12"/>
    <mergeCell ref="AL12:AM12"/>
    <mergeCell ref="AN12:AO12"/>
    <mergeCell ref="B12:C12"/>
    <mergeCell ref="D12:E12"/>
    <mergeCell ref="F12:G12"/>
    <mergeCell ref="H12:I12"/>
    <mergeCell ref="J12:K12"/>
    <mergeCell ref="L12:M12"/>
    <mergeCell ref="N12:O12"/>
    <mergeCell ref="P12:Q12"/>
    <mergeCell ref="AB4:AC4"/>
    <mergeCell ref="BJ20:BK20"/>
    <mergeCell ref="BL20:BM20"/>
    <mergeCell ref="BN20:BO20"/>
    <mergeCell ref="AR20:AS20"/>
    <mergeCell ref="AT20:AU20"/>
    <mergeCell ref="AV20:AW20"/>
    <mergeCell ref="AX20:AY20"/>
    <mergeCell ref="AZ20:BA20"/>
    <mergeCell ref="AP12:AQ12"/>
    <mergeCell ref="AR12:AS12"/>
    <mergeCell ref="AT12:AU12"/>
    <mergeCell ref="AV12:AW12"/>
    <mergeCell ref="AX12:AY12"/>
    <mergeCell ref="AZ12:BA12"/>
    <mergeCell ref="BB12:BC12"/>
    <mergeCell ref="BD12:BE12"/>
    <mergeCell ref="BF12:BG12"/>
    <mergeCell ref="BH12:BI12"/>
    <mergeCell ref="BJ12:BK12"/>
    <mergeCell ref="BL12:BM12"/>
    <mergeCell ref="BN12:BO12"/>
    <mergeCell ref="AH12:AI12"/>
    <mergeCell ref="AJ12:AK12"/>
    <mergeCell ref="T20:U20"/>
    <mergeCell ref="AD12:AE12"/>
    <mergeCell ref="AF12:AG12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V20:W20"/>
    <mergeCell ref="X20:Y20"/>
    <mergeCell ref="Z20:AA20"/>
    <mergeCell ref="AB20:AC20"/>
    <mergeCell ref="AD20:AE20"/>
    <mergeCell ref="AB12:AC12"/>
    <mergeCell ref="BF20:BG20"/>
    <mergeCell ref="BH20:BI20"/>
    <mergeCell ref="AF20:AG20"/>
    <mergeCell ref="AH20:AI20"/>
    <mergeCell ref="AJ20:AK20"/>
    <mergeCell ref="AL20:AM20"/>
    <mergeCell ref="AN20:AO20"/>
    <mergeCell ref="AP20:AQ20"/>
    <mergeCell ref="BB20:BC20"/>
    <mergeCell ref="BD20:BE20"/>
    <mergeCell ref="BJ28:BK28"/>
    <mergeCell ref="BL28:BM28"/>
    <mergeCell ref="BL36:BM36"/>
    <mergeCell ref="BN28:BO28"/>
    <mergeCell ref="BH28:BI28"/>
    <mergeCell ref="BN36:BO36"/>
    <mergeCell ref="BH36:BI36"/>
    <mergeCell ref="BJ36:BK36"/>
    <mergeCell ref="BB28:BC28"/>
    <mergeCell ref="BD28:BE28"/>
    <mergeCell ref="BF28:BG28"/>
    <mergeCell ref="BB36:BC36"/>
    <mergeCell ref="BD36:BE36"/>
    <mergeCell ref="BF36:BG36"/>
    <mergeCell ref="B36:C36"/>
    <mergeCell ref="D36:E36"/>
    <mergeCell ref="F36:G36"/>
    <mergeCell ref="H36:I36"/>
    <mergeCell ref="J36:K36"/>
    <mergeCell ref="L36:M36"/>
    <mergeCell ref="AF28:AG28"/>
    <mergeCell ref="AH28:AI28"/>
    <mergeCell ref="AJ28:AK28"/>
    <mergeCell ref="N28:O28"/>
    <mergeCell ref="P28:Q28"/>
    <mergeCell ref="R28:S28"/>
    <mergeCell ref="T28:U28"/>
    <mergeCell ref="V28:W28"/>
    <mergeCell ref="X28:Y28"/>
    <mergeCell ref="B28:C28"/>
    <mergeCell ref="D28:E28"/>
    <mergeCell ref="F28:G28"/>
    <mergeCell ref="H28:I28"/>
    <mergeCell ref="J28:K28"/>
    <mergeCell ref="L28:M28"/>
    <mergeCell ref="AD28:AE28"/>
    <mergeCell ref="N36:O36"/>
    <mergeCell ref="AX28:AY28"/>
    <mergeCell ref="AZ28:BA28"/>
    <mergeCell ref="AN36:AO36"/>
    <mergeCell ref="AP36:AQ36"/>
    <mergeCell ref="AR36:AS36"/>
    <mergeCell ref="P36:Q36"/>
    <mergeCell ref="R36:S36"/>
    <mergeCell ref="T36:U36"/>
    <mergeCell ref="V36:W36"/>
    <mergeCell ref="X36:Y36"/>
    <mergeCell ref="AL28:AM28"/>
    <mergeCell ref="AN28:AO28"/>
    <mergeCell ref="AP28:AQ28"/>
    <mergeCell ref="AR28:AS28"/>
    <mergeCell ref="Z44:AA44"/>
    <mergeCell ref="AB44:AC44"/>
    <mergeCell ref="AT28:AU28"/>
    <mergeCell ref="AV28:AW28"/>
    <mergeCell ref="Z28:AA28"/>
    <mergeCell ref="AB28:AC28"/>
    <mergeCell ref="AT36:AU36"/>
    <mergeCell ref="AV36:AW36"/>
    <mergeCell ref="AR44:AS44"/>
    <mergeCell ref="AT44:AU44"/>
    <mergeCell ref="AV44:AW44"/>
    <mergeCell ref="D44:E44"/>
    <mergeCell ref="F44:G44"/>
    <mergeCell ref="H44:I44"/>
    <mergeCell ref="J44:K44"/>
    <mergeCell ref="L44:M44"/>
    <mergeCell ref="R44:S44"/>
    <mergeCell ref="T44:U44"/>
    <mergeCell ref="V44:W44"/>
    <mergeCell ref="X44:Y44"/>
    <mergeCell ref="AZ44:BA44"/>
    <mergeCell ref="B52:C52"/>
    <mergeCell ref="D52:E52"/>
    <mergeCell ref="F52:G52"/>
    <mergeCell ref="H52:I52"/>
    <mergeCell ref="J52:K52"/>
    <mergeCell ref="N44:O44"/>
    <mergeCell ref="P44:Q44"/>
    <mergeCell ref="AZ36:BA36"/>
    <mergeCell ref="Z36:AA36"/>
    <mergeCell ref="AX36:AY36"/>
    <mergeCell ref="AB36:AC36"/>
    <mergeCell ref="AD36:AE36"/>
    <mergeCell ref="AH44:AI44"/>
    <mergeCell ref="AJ36:AK36"/>
    <mergeCell ref="AL36:AM36"/>
    <mergeCell ref="AF36:AG36"/>
    <mergeCell ref="AH36:AI36"/>
    <mergeCell ref="AD44:AE44"/>
    <mergeCell ref="AF44:AG44"/>
    <mergeCell ref="AJ44:AK44"/>
    <mergeCell ref="AL44:AM44"/>
    <mergeCell ref="AN44:AO44"/>
    <mergeCell ref="B44:C44"/>
    <mergeCell ref="L52:M52"/>
    <mergeCell ref="N52:O52"/>
    <mergeCell ref="P52:Q52"/>
    <mergeCell ref="R52:S52"/>
    <mergeCell ref="AR52:AS52"/>
    <mergeCell ref="AT52:AU52"/>
    <mergeCell ref="T52:U52"/>
    <mergeCell ref="V52:W52"/>
    <mergeCell ref="X52:Y52"/>
    <mergeCell ref="Z52:AA52"/>
    <mergeCell ref="AX44:AY44"/>
    <mergeCell ref="AB52:AC52"/>
    <mergeCell ref="AD52:AE52"/>
    <mergeCell ref="AD68:AE68"/>
    <mergeCell ref="AF68:AG68"/>
    <mergeCell ref="AH68:AI68"/>
    <mergeCell ref="AJ68:AK68"/>
    <mergeCell ref="AF52:AG52"/>
    <mergeCell ref="AH52:AI52"/>
    <mergeCell ref="AJ52:AK52"/>
    <mergeCell ref="AL52:AM52"/>
    <mergeCell ref="AN52:AO52"/>
    <mergeCell ref="AP52:AQ52"/>
    <mergeCell ref="AV52:AW52"/>
    <mergeCell ref="AX52:AY52"/>
    <mergeCell ref="AP44:AQ44"/>
    <mergeCell ref="AN68:AO68"/>
    <mergeCell ref="AP68:AQ68"/>
    <mergeCell ref="AR68:AS68"/>
    <mergeCell ref="AT68:AU68"/>
    <mergeCell ref="AV68:AW68"/>
    <mergeCell ref="BJ68:BK68"/>
    <mergeCell ref="BL68:BM68"/>
    <mergeCell ref="BN68:BO68"/>
    <mergeCell ref="B76:C76"/>
    <mergeCell ref="D76:E76"/>
    <mergeCell ref="F76:G76"/>
    <mergeCell ref="H76:I76"/>
    <mergeCell ref="J76:K76"/>
    <mergeCell ref="L76:M76"/>
    <mergeCell ref="N68:O68"/>
    <mergeCell ref="P68:Q68"/>
    <mergeCell ref="R68:S68"/>
    <mergeCell ref="T68:U68"/>
    <mergeCell ref="V68:W68"/>
    <mergeCell ref="X68:Y68"/>
    <mergeCell ref="B68:C68"/>
    <mergeCell ref="D68:E68"/>
    <mergeCell ref="F68:G68"/>
    <mergeCell ref="H68:I68"/>
    <mergeCell ref="J68:K68"/>
    <mergeCell ref="L68:M68"/>
    <mergeCell ref="BH68:BI68"/>
    <mergeCell ref="AL68:AM68"/>
    <mergeCell ref="N76:O76"/>
    <mergeCell ref="AX68:AY68"/>
    <mergeCell ref="AZ68:BA68"/>
    <mergeCell ref="BB68:BC68"/>
    <mergeCell ref="BD68:BE68"/>
    <mergeCell ref="BF68:BG68"/>
    <mergeCell ref="Z68:AA68"/>
    <mergeCell ref="AB68:AC68"/>
    <mergeCell ref="AB76:AC76"/>
    <mergeCell ref="AD76:AE76"/>
    <mergeCell ref="AF76:AG76"/>
    <mergeCell ref="AH76:AI76"/>
    <mergeCell ref="AJ76:AK76"/>
    <mergeCell ref="AL76:AM76"/>
    <mergeCell ref="P76:Q76"/>
    <mergeCell ref="R76:S76"/>
    <mergeCell ref="T76:U76"/>
    <mergeCell ref="BL76:BM76"/>
    <mergeCell ref="BN76:BO76"/>
    <mergeCell ref="AZ76:BA76"/>
    <mergeCell ref="BB76:BC76"/>
    <mergeCell ref="BD76:BE76"/>
    <mergeCell ref="BF76:BG76"/>
    <mergeCell ref="BH76:BI76"/>
    <mergeCell ref="BJ76:BK76"/>
    <mergeCell ref="V76:W76"/>
    <mergeCell ref="X76:Y76"/>
    <mergeCell ref="Z76:AA76"/>
    <mergeCell ref="AN76:AO76"/>
    <mergeCell ref="AP76:AQ76"/>
    <mergeCell ref="AR76:AS76"/>
    <mergeCell ref="AT76:AU76"/>
    <mergeCell ref="AV76:AW76"/>
    <mergeCell ref="AX76:AY7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6"/>
  <sheetViews>
    <sheetView workbookViewId="0">
      <pane xSplit="1" ySplit="3" topLeftCell="B4" activePane="bottomRight" state="frozen"/>
      <selection activeCell="F11" sqref="F11"/>
      <selection pane="topRight" activeCell="F11" sqref="F11"/>
      <selection pane="bottomLeft" activeCell="F11" sqref="F11"/>
      <selection pane="bottomRight" activeCell="B1" sqref="B1"/>
    </sheetView>
  </sheetViews>
  <sheetFormatPr defaultRowHeight="15" x14ac:dyDescent="0.25"/>
  <cols>
    <col min="1" max="1" width="46.140625" style="6" customWidth="1"/>
    <col min="2" max="69" width="14.7109375" style="4" customWidth="1"/>
    <col min="70" max="16384" width="9.140625" style="4"/>
  </cols>
  <sheetData>
    <row r="1" spans="1:69" ht="18.75" x14ac:dyDescent="0.3">
      <c r="A1" s="24" t="s">
        <v>169</v>
      </c>
    </row>
    <row r="2" spans="1:69" x14ac:dyDescent="0.25">
      <c r="A2" s="6" t="s">
        <v>42</v>
      </c>
    </row>
    <row r="3" spans="1:69" s="12" customFormat="1" x14ac:dyDescent="0.25">
      <c r="A3" s="20" t="s">
        <v>0</v>
      </c>
      <c r="B3" s="160" t="s">
        <v>1</v>
      </c>
      <c r="C3" s="160"/>
      <c r="D3" s="160" t="s">
        <v>2</v>
      </c>
      <c r="E3" s="160"/>
      <c r="F3" s="160" t="s">
        <v>3</v>
      </c>
      <c r="G3" s="160"/>
      <c r="H3" s="160" t="s">
        <v>4</v>
      </c>
      <c r="I3" s="160"/>
      <c r="J3" s="160" t="s">
        <v>5</v>
      </c>
      <c r="K3" s="160"/>
      <c r="L3" s="160" t="s">
        <v>6</v>
      </c>
      <c r="M3" s="160"/>
      <c r="N3" s="160" t="s">
        <v>7</v>
      </c>
      <c r="O3" s="160"/>
      <c r="P3" s="160" t="s">
        <v>8</v>
      </c>
      <c r="Q3" s="160"/>
      <c r="R3" s="160" t="s">
        <v>9</v>
      </c>
      <c r="S3" s="160"/>
      <c r="T3" s="160" t="s">
        <v>10</v>
      </c>
      <c r="U3" s="160"/>
      <c r="V3" s="160" t="s">
        <v>11</v>
      </c>
      <c r="W3" s="160"/>
      <c r="X3" s="160" t="s">
        <v>12</v>
      </c>
      <c r="Y3" s="160"/>
      <c r="Z3" s="160" t="s">
        <v>13</v>
      </c>
      <c r="AA3" s="160"/>
      <c r="AB3" s="160" t="s">
        <v>14</v>
      </c>
      <c r="AC3" s="160"/>
      <c r="AD3" s="160" t="s">
        <v>15</v>
      </c>
      <c r="AE3" s="160"/>
      <c r="AF3" s="160" t="s">
        <v>16</v>
      </c>
      <c r="AG3" s="160"/>
      <c r="AH3" s="160" t="s">
        <v>17</v>
      </c>
      <c r="AI3" s="160"/>
      <c r="AJ3" s="160" t="s">
        <v>18</v>
      </c>
      <c r="AK3" s="160"/>
      <c r="AL3" s="160" t="s">
        <v>19</v>
      </c>
      <c r="AM3" s="160"/>
      <c r="AN3" s="160" t="s">
        <v>20</v>
      </c>
      <c r="AO3" s="160"/>
      <c r="AP3" s="160" t="s">
        <v>21</v>
      </c>
      <c r="AQ3" s="160"/>
      <c r="AR3" s="160" t="s">
        <v>109</v>
      </c>
      <c r="AS3" s="160"/>
      <c r="AT3" s="160" t="s">
        <v>110</v>
      </c>
      <c r="AU3" s="160"/>
      <c r="AV3" s="160" t="s">
        <v>22</v>
      </c>
      <c r="AW3" s="160"/>
      <c r="AX3" s="160" t="s">
        <v>23</v>
      </c>
      <c r="AY3" s="160"/>
      <c r="AZ3" s="160" t="s">
        <v>24</v>
      </c>
      <c r="BA3" s="160"/>
      <c r="BB3" s="160" t="s">
        <v>25</v>
      </c>
      <c r="BC3" s="160"/>
      <c r="BD3" s="160" t="s">
        <v>26</v>
      </c>
      <c r="BE3" s="160"/>
      <c r="BF3" s="160" t="s">
        <v>27</v>
      </c>
      <c r="BG3" s="160"/>
      <c r="BH3" s="160" t="s">
        <v>28</v>
      </c>
      <c r="BI3" s="160"/>
      <c r="BJ3" s="160" t="s">
        <v>29</v>
      </c>
      <c r="BK3" s="160"/>
      <c r="BL3" s="160" t="s">
        <v>30</v>
      </c>
      <c r="BM3" s="160"/>
      <c r="BN3" s="160" t="s">
        <v>31</v>
      </c>
      <c r="BO3" s="160"/>
      <c r="BP3" s="160" t="s">
        <v>150</v>
      </c>
      <c r="BQ3" s="160"/>
    </row>
    <row r="4" spans="1:69" s="39" customFormat="1" ht="44.25" customHeight="1" x14ac:dyDescent="0.25">
      <c r="A4" s="40"/>
      <c r="B4" s="40" t="s">
        <v>161</v>
      </c>
      <c r="C4" s="40" t="s">
        <v>162</v>
      </c>
      <c r="D4" s="40" t="s">
        <v>161</v>
      </c>
      <c r="E4" s="40" t="s">
        <v>162</v>
      </c>
      <c r="F4" s="40" t="s">
        <v>161</v>
      </c>
      <c r="G4" s="40" t="s">
        <v>162</v>
      </c>
      <c r="H4" s="40" t="s">
        <v>161</v>
      </c>
      <c r="I4" s="40" t="s">
        <v>162</v>
      </c>
      <c r="J4" s="40" t="s">
        <v>161</v>
      </c>
      <c r="K4" s="40" t="s">
        <v>162</v>
      </c>
      <c r="L4" s="40" t="s">
        <v>161</v>
      </c>
      <c r="M4" s="40" t="s">
        <v>162</v>
      </c>
      <c r="N4" s="40" t="s">
        <v>161</v>
      </c>
      <c r="O4" s="40" t="s">
        <v>162</v>
      </c>
      <c r="P4" s="40" t="s">
        <v>161</v>
      </c>
      <c r="Q4" s="40" t="s">
        <v>162</v>
      </c>
      <c r="R4" s="40" t="s">
        <v>161</v>
      </c>
      <c r="S4" s="40" t="s">
        <v>162</v>
      </c>
      <c r="T4" s="40" t="s">
        <v>161</v>
      </c>
      <c r="U4" s="40" t="s">
        <v>162</v>
      </c>
      <c r="V4" s="40" t="s">
        <v>161</v>
      </c>
      <c r="W4" s="40" t="s">
        <v>162</v>
      </c>
      <c r="X4" s="40" t="s">
        <v>161</v>
      </c>
      <c r="Y4" s="40" t="s">
        <v>162</v>
      </c>
      <c r="Z4" s="40" t="s">
        <v>161</v>
      </c>
      <c r="AA4" s="40" t="s">
        <v>162</v>
      </c>
      <c r="AB4" s="40" t="s">
        <v>161</v>
      </c>
      <c r="AC4" s="40" t="s">
        <v>162</v>
      </c>
      <c r="AD4" s="40" t="s">
        <v>161</v>
      </c>
      <c r="AE4" s="40" t="s">
        <v>162</v>
      </c>
      <c r="AF4" s="40" t="s">
        <v>161</v>
      </c>
      <c r="AG4" s="40" t="s">
        <v>162</v>
      </c>
      <c r="AH4" s="40" t="s">
        <v>161</v>
      </c>
      <c r="AI4" s="40" t="s">
        <v>162</v>
      </c>
      <c r="AJ4" s="40" t="s">
        <v>161</v>
      </c>
      <c r="AK4" s="40" t="s">
        <v>162</v>
      </c>
      <c r="AL4" s="40" t="s">
        <v>161</v>
      </c>
      <c r="AM4" s="40" t="s">
        <v>162</v>
      </c>
      <c r="AN4" s="40" t="s">
        <v>161</v>
      </c>
      <c r="AO4" s="40" t="s">
        <v>162</v>
      </c>
      <c r="AP4" s="40" t="s">
        <v>161</v>
      </c>
      <c r="AQ4" s="40" t="s">
        <v>162</v>
      </c>
      <c r="AR4" s="40" t="s">
        <v>161</v>
      </c>
      <c r="AS4" s="40" t="s">
        <v>162</v>
      </c>
      <c r="AT4" s="40" t="s">
        <v>161</v>
      </c>
      <c r="AU4" s="40" t="s">
        <v>162</v>
      </c>
      <c r="AV4" s="40" t="s">
        <v>161</v>
      </c>
      <c r="AW4" s="40" t="s">
        <v>162</v>
      </c>
      <c r="AX4" s="40" t="s">
        <v>161</v>
      </c>
      <c r="AY4" s="40" t="s">
        <v>162</v>
      </c>
      <c r="AZ4" s="40" t="s">
        <v>161</v>
      </c>
      <c r="BA4" s="40" t="s">
        <v>162</v>
      </c>
      <c r="BB4" s="40" t="s">
        <v>161</v>
      </c>
      <c r="BC4" s="40" t="s">
        <v>162</v>
      </c>
      <c r="BD4" s="40" t="s">
        <v>161</v>
      </c>
      <c r="BE4" s="40" t="s">
        <v>162</v>
      </c>
      <c r="BF4" s="40" t="s">
        <v>161</v>
      </c>
      <c r="BG4" s="40" t="s">
        <v>162</v>
      </c>
      <c r="BH4" s="40" t="s">
        <v>161</v>
      </c>
      <c r="BI4" s="40" t="s">
        <v>162</v>
      </c>
      <c r="BJ4" s="40" t="s">
        <v>161</v>
      </c>
      <c r="BK4" s="40" t="s">
        <v>162</v>
      </c>
      <c r="BL4" s="40" t="s">
        <v>161</v>
      </c>
      <c r="BM4" s="40" t="s">
        <v>162</v>
      </c>
      <c r="BN4" s="40" t="s">
        <v>161</v>
      </c>
      <c r="BO4" s="40" t="s">
        <v>162</v>
      </c>
      <c r="BP4" s="40" t="s">
        <v>161</v>
      </c>
      <c r="BQ4" s="40" t="s">
        <v>162</v>
      </c>
    </row>
    <row r="5" spans="1:69" x14ac:dyDescent="0.25">
      <c r="A5" s="65" t="s">
        <v>170</v>
      </c>
      <c r="B5" s="41">
        <v>39153.788999999997</v>
      </c>
      <c r="C5" s="41">
        <v>72853.678</v>
      </c>
      <c r="D5" s="41">
        <v>378336</v>
      </c>
      <c r="E5" s="41">
        <v>1141484</v>
      </c>
      <c r="F5" s="41">
        <v>161676</v>
      </c>
      <c r="G5" s="41">
        <v>429703</v>
      </c>
      <c r="H5" s="41">
        <v>534127</v>
      </c>
      <c r="I5" s="41">
        <v>1740028</v>
      </c>
      <c r="J5" s="41">
        <v>1702854</v>
      </c>
      <c r="K5" s="41">
        <v>5918681</v>
      </c>
      <c r="L5" s="41">
        <v>371250</v>
      </c>
      <c r="M5" s="41">
        <v>1252863</v>
      </c>
      <c r="N5" s="41">
        <v>325984</v>
      </c>
      <c r="O5" s="41">
        <v>1184281</v>
      </c>
      <c r="P5" s="41">
        <v>260697</v>
      </c>
      <c r="Q5" s="41">
        <v>966811</v>
      </c>
      <c r="R5" s="41">
        <v>83384</v>
      </c>
      <c r="S5" s="41">
        <v>188756</v>
      </c>
      <c r="T5" s="41">
        <v>95294</v>
      </c>
      <c r="U5" s="41">
        <v>144825</v>
      </c>
      <c r="V5" s="41">
        <v>52859.68</v>
      </c>
      <c r="W5" s="41">
        <v>938508</v>
      </c>
      <c r="X5" s="41">
        <v>333461</v>
      </c>
      <c r="Y5" s="41">
        <v>1351988</v>
      </c>
      <c r="Z5" s="41">
        <v>174893</v>
      </c>
      <c r="AA5" s="41">
        <v>410125</v>
      </c>
      <c r="AB5" s="41">
        <v>711303</v>
      </c>
      <c r="AC5" s="41">
        <v>2963516</v>
      </c>
      <c r="AD5" s="41">
        <v>1160443</v>
      </c>
      <c r="AE5" s="41">
        <v>4936011</v>
      </c>
      <c r="AF5" s="41">
        <v>441223</v>
      </c>
      <c r="AG5" s="41">
        <v>1680901</v>
      </c>
      <c r="AH5" s="41">
        <v>109440</v>
      </c>
      <c r="AI5" s="41">
        <v>361526</v>
      </c>
      <c r="AJ5" s="41">
        <v>303671</v>
      </c>
      <c r="AK5" s="41">
        <v>1137374</v>
      </c>
      <c r="AL5" s="41">
        <v>140541</v>
      </c>
      <c r="AM5" s="41">
        <v>601184</v>
      </c>
      <c r="AN5" s="41">
        <v>370196</v>
      </c>
      <c r="AO5" s="41">
        <v>1363966</v>
      </c>
      <c r="AP5" s="41">
        <v>7092116</v>
      </c>
      <c r="AQ5" s="41">
        <v>22102591</v>
      </c>
      <c r="AR5" s="41">
        <v>6900473</v>
      </c>
      <c r="AS5" s="41">
        <v>22712975</v>
      </c>
      <c r="AT5" s="41">
        <v>4603059</v>
      </c>
      <c r="AU5" s="41">
        <v>19974638</v>
      </c>
      <c r="AV5" s="41">
        <v>21980</v>
      </c>
      <c r="AW5" s="41">
        <v>95571</v>
      </c>
      <c r="AX5" s="41">
        <v>769010</v>
      </c>
      <c r="AY5" s="41">
        <v>2880193</v>
      </c>
      <c r="AZ5" s="41">
        <v>683017</v>
      </c>
      <c r="BA5" s="41">
        <v>2176513</v>
      </c>
      <c r="BB5" s="41">
        <v>333227</v>
      </c>
      <c r="BC5" s="41">
        <v>1371726</v>
      </c>
      <c r="BD5" s="41">
        <v>668200</v>
      </c>
      <c r="BE5" s="41">
        <v>2400794</v>
      </c>
      <c r="BF5" s="41">
        <v>156667</v>
      </c>
      <c r="BG5" s="41">
        <v>755881</v>
      </c>
      <c r="BH5" s="41">
        <v>2196210</v>
      </c>
      <c r="BI5" s="41">
        <v>6291861</v>
      </c>
      <c r="BJ5" s="41">
        <v>915226</v>
      </c>
      <c r="BK5" s="41">
        <v>2826052</v>
      </c>
      <c r="BL5" s="85">
        <v>1258492</v>
      </c>
      <c r="BM5" s="85">
        <v>17581991</v>
      </c>
      <c r="BN5" s="41">
        <v>186706</v>
      </c>
      <c r="BO5" s="41">
        <v>679652</v>
      </c>
      <c r="BP5" s="41">
        <f t="shared" ref="BP5:BQ12" si="0">B5+D5+F5+H5+J5+L5+N5+P5+R5+T5+V5+X5+Z5+AB5+AD5+AF5+AH5+AJ5+AL5+AN5+AP5+AR5+AT5+AV5+AX5+AZ5+BB5+BD5+BF5+BH5+BJ5+BL5+BN5</f>
        <v>33535169.469000001</v>
      </c>
      <c r="BQ5" s="41">
        <f t="shared" si="0"/>
        <v>130635822.678</v>
      </c>
    </row>
    <row r="6" spans="1:69" x14ac:dyDescent="0.25">
      <c r="A6" s="65" t="s">
        <v>171</v>
      </c>
      <c r="B6" s="41">
        <v>2133.404</v>
      </c>
      <c r="C6" s="41">
        <v>3389.9949999999999</v>
      </c>
      <c r="D6" s="41">
        <v>14777</v>
      </c>
      <c r="E6" s="41">
        <v>50496</v>
      </c>
      <c r="F6" s="41">
        <v>11764</v>
      </c>
      <c r="G6" s="41">
        <v>38447</v>
      </c>
      <c r="H6" s="41">
        <v>27599</v>
      </c>
      <c r="I6" s="41">
        <v>114286</v>
      </c>
      <c r="J6" s="141">
        <v>92685</v>
      </c>
      <c r="K6" s="141">
        <v>335127</v>
      </c>
      <c r="L6" s="41">
        <v>24936</v>
      </c>
      <c r="M6" s="41">
        <v>72954</v>
      </c>
      <c r="N6" s="41">
        <v>34130</v>
      </c>
      <c r="O6" s="41">
        <v>127032</v>
      </c>
      <c r="P6" s="41">
        <v>15311</v>
      </c>
      <c r="Q6" s="41">
        <v>60652</v>
      </c>
      <c r="R6" s="41">
        <v>2006</v>
      </c>
      <c r="S6" s="41">
        <v>4613</v>
      </c>
      <c r="T6" s="41">
        <v>1240</v>
      </c>
      <c r="U6" s="41">
        <v>1731</v>
      </c>
      <c r="V6" s="41">
        <v>39268.51</v>
      </c>
      <c r="W6" s="41">
        <v>110131.84</v>
      </c>
      <c r="X6" s="41">
        <v>9944</v>
      </c>
      <c r="Y6" s="41">
        <v>64464</v>
      </c>
      <c r="Z6" s="41">
        <v>11942</v>
      </c>
      <c r="AA6" s="41">
        <v>36975</v>
      </c>
      <c r="AB6" s="41">
        <v>41029</v>
      </c>
      <c r="AC6" s="41">
        <v>154970</v>
      </c>
      <c r="AD6" s="41">
        <v>121309</v>
      </c>
      <c r="AE6" s="41">
        <v>423267</v>
      </c>
      <c r="AF6" s="41">
        <v>40926</v>
      </c>
      <c r="AG6" s="41">
        <v>114582</v>
      </c>
      <c r="AH6" s="41">
        <v>4145</v>
      </c>
      <c r="AI6" s="41">
        <v>15624</v>
      </c>
      <c r="AJ6" s="41">
        <v>26906</v>
      </c>
      <c r="AK6" s="41">
        <v>90663</v>
      </c>
      <c r="AL6" s="41">
        <v>13269</v>
      </c>
      <c r="AM6" s="41">
        <v>44931</v>
      </c>
      <c r="AN6" s="41">
        <v>27898</v>
      </c>
      <c r="AO6" s="41">
        <v>71762</v>
      </c>
      <c r="AP6" s="41">
        <v>196294</v>
      </c>
      <c r="AQ6" s="41">
        <v>593459</v>
      </c>
      <c r="AR6" s="41">
        <v>217301</v>
      </c>
      <c r="AS6" s="41">
        <v>680824</v>
      </c>
      <c r="AT6" s="41">
        <v>153626</v>
      </c>
      <c r="AU6" s="41">
        <v>447600</v>
      </c>
      <c r="AV6" s="41">
        <v>1808</v>
      </c>
      <c r="AW6" s="41">
        <v>5596</v>
      </c>
      <c r="AX6" s="41">
        <v>34642</v>
      </c>
      <c r="AY6" s="41">
        <v>146332</v>
      </c>
      <c r="AZ6" s="41">
        <v>95127</v>
      </c>
      <c r="BA6" s="41">
        <v>286425</v>
      </c>
      <c r="BB6" s="41">
        <v>21711</v>
      </c>
      <c r="BC6" s="41">
        <v>69834</v>
      </c>
      <c r="BD6" s="41">
        <v>94526</v>
      </c>
      <c r="BE6" s="41">
        <v>341548</v>
      </c>
      <c r="BF6" s="41">
        <v>32856</v>
      </c>
      <c r="BG6" s="41">
        <v>109651</v>
      </c>
      <c r="BH6" s="41">
        <v>146810</v>
      </c>
      <c r="BI6" s="41">
        <v>236860</v>
      </c>
      <c r="BJ6" s="41">
        <v>56114</v>
      </c>
      <c r="BK6" s="41">
        <v>190337</v>
      </c>
      <c r="BL6" s="92">
        <v>183671</v>
      </c>
      <c r="BM6" s="92">
        <v>570090</v>
      </c>
      <c r="BN6" s="41">
        <v>24698</v>
      </c>
      <c r="BO6" s="41">
        <v>61521</v>
      </c>
      <c r="BP6" s="41">
        <f t="shared" si="0"/>
        <v>1822401.9139999999</v>
      </c>
      <c r="BQ6" s="41">
        <f t="shared" si="0"/>
        <v>5676174.835</v>
      </c>
    </row>
    <row r="7" spans="1:69" x14ac:dyDescent="0.25">
      <c r="A7" s="65" t="s">
        <v>172</v>
      </c>
      <c r="B7" s="41">
        <v>21.24</v>
      </c>
      <c r="C7" s="41">
        <v>21.24</v>
      </c>
      <c r="D7" s="41">
        <v>859</v>
      </c>
      <c r="E7" s="41">
        <v>13633</v>
      </c>
      <c r="F7" s="41">
        <v>2387</v>
      </c>
      <c r="G7" s="41">
        <v>3450</v>
      </c>
      <c r="H7" s="41">
        <v>3322</v>
      </c>
      <c r="I7" s="41">
        <v>20176</v>
      </c>
      <c r="J7" s="143">
        <v>6423</v>
      </c>
      <c r="K7" s="142">
        <v>10934</v>
      </c>
      <c r="L7" s="41">
        <v>-60297</v>
      </c>
      <c r="M7" s="41">
        <v>1445</v>
      </c>
      <c r="N7" s="41">
        <v>5980</v>
      </c>
      <c r="O7" s="41">
        <v>15590</v>
      </c>
      <c r="P7" s="41">
        <v>12825</v>
      </c>
      <c r="Q7" s="41">
        <v>48329</v>
      </c>
      <c r="R7" s="41">
        <v>51989</v>
      </c>
      <c r="S7" s="41">
        <v>68065</v>
      </c>
      <c r="T7" s="41">
        <v>655</v>
      </c>
      <c r="U7" s="41">
        <v>655</v>
      </c>
      <c r="V7" s="41">
        <v>3342.47</v>
      </c>
      <c r="W7" s="41">
        <v>18082.14</v>
      </c>
      <c r="X7" s="41">
        <v>25796</v>
      </c>
      <c r="Y7" s="41">
        <v>203982</v>
      </c>
      <c r="Z7" s="41">
        <v>22</v>
      </c>
      <c r="AA7" s="41">
        <v>39</v>
      </c>
      <c r="AB7" s="41">
        <v>237008</v>
      </c>
      <c r="AC7" s="41">
        <v>616081</v>
      </c>
      <c r="AD7" s="41">
        <v>20544</v>
      </c>
      <c r="AE7" s="41">
        <v>59559</v>
      </c>
      <c r="AF7" s="41">
        <v>864</v>
      </c>
      <c r="AG7" s="41">
        <v>6023</v>
      </c>
      <c r="AH7" s="41">
        <v>648</v>
      </c>
      <c r="AI7" s="41">
        <v>1673</v>
      </c>
      <c r="AJ7" s="41">
        <v>43512</v>
      </c>
      <c r="AK7" s="41">
        <v>80952</v>
      </c>
      <c r="AL7" s="41"/>
      <c r="AM7" s="41"/>
      <c r="AN7" s="41">
        <v>25827</v>
      </c>
      <c r="AO7" s="41">
        <v>83609</v>
      </c>
      <c r="AP7" s="41">
        <v>68443</v>
      </c>
      <c r="AQ7" s="41">
        <v>83306</v>
      </c>
      <c r="AR7" s="41">
        <v>31235</v>
      </c>
      <c r="AS7" s="41">
        <v>327158</v>
      </c>
      <c r="AT7" s="41">
        <v>18542</v>
      </c>
      <c r="AU7" s="41">
        <v>59097</v>
      </c>
      <c r="AV7" s="41">
        <v>17</v>
      </c>
      <c r="AW7" s="41">
        <v>22</v>
      </c>
      <c r="AX7" s="41">
        <v>48193</v>
      </c>
      <c r="AY7" s="41">
        <v>165587</v>
      </c>
      <c r="AZ7" s="41"/>
      <c r="BA7" s="41"/>
      <c r="BB7" s="41">
        <v>663</v>
      </c>
      <c r="BC7" s="41">
        <v>3474</v>
      </c>
      <c r="BD7" s="41">
        <v>5165</v>
      </c>
      <c r="BE7" s="41">
        <v>14263</v>
      </c>
      <c r="BF7" s="41">
        <v>1399</v>
      </c>
      <c r="BG7" s="41">
        <v>7418</v>
      </c>
      <c r="BH7" s="41">
        <v>17439</v>
      </c>
      <c r="BI7" s="41">
        <v>67680</v>
      </c>
      <c r="BJ7" s="41">
        <v>-41347</v>
      </c>
      <c r="BK7" s="41">
        <v>108800</v>
      </c>
      <c r="BL7" s="92">
        <v>28712</v>
      </c>
      <c r="BM7" s="92">
        <v>52299</v>
      </c>
      <c r="BN7" s="41">
        <v>264</v>
      </c>
      <c r="BO7" s="41">
        <v>2646</v>
      </c>
      <c r="BP7" s="41">
        <f t="shared" si="0"/>
        <v>560452.71</v>
      </c>
      <c r="BQ7" s="41">
        <f t="shared" si="0"/>
        <v>2144048.38</v>
      </c>
    </row>
    <row r="8" spans="1:69" x14ac:dyDescent="0.25">
      <c r="A8" s="65" t="s">
        <v>173</v>
      </c>
      <c r="B8" s="41">
        <v>3357</v>
      </c>
      <c r="C8" s="41">
        <v>7300.8069999999998</v>
      </c>
      <c r="D8" s="41">
        <v>16513</v>
      </c>
      <c r="E8" s="41">
        <v>85724</v>
      </c>
      <c r="F8" s="41">
        <v>31336</v>
      </c>
      <c r="G8" s="41">
        <v>111238</v>
      </c>
      <c r="H8" s="41">
        <v>38994</v>
      </c>
      <c r="I8" s="41">
        <v>137883</v>
      </c>
      <c r="J8" s="141">
        <v>73864</v>
      </c>
      <c r="K8" s="141">
        <v>263726</v>
      </c>
      <c r="L8" s="41">
        <v>79360</v>
      </c>
      <c r="M8" s="41">
        <v>1463904</v>
      </c>
      <c r="N8" s="41">
        <v>40924</v>
      </c>
      <c r="O8" s="41">
        <v>140097</v>
      </c>
      <c r="P8" s="41">
        <v>14308</v>
      </c>
      <c r="Q8" s="41">
        <v>62672</v>
      </c>
      <c r="R8" s="41">
        <v>11027</v>
      </c>
      <c r="S8" s="41">
        <v>40570</v>
      </c>
      <c r="T8" s="41">
        <v>4618</v>
      </c>
      <c r="U8" s="41">
        <v>9080</v>
      </c>
      <c r="V8" s="41">
        <v>54767.19</v>
      </c>
      <c r="W8" s="41">
        <v>218945.01</v>
      </c>
      <c r="X8" s="41">
        <v>57049</v>
      </c>
      <c r="Y8" s="41">
        <v>224682</v>
      </c>
      <c r="Z8" s="41">
        <v>445</v>
      </c>
      <c r="AA8" s="41">
        <v>652</v>
      </c>
      <c r="AB8" s="41">
        <v>92007</v>
      </c>
      <c r="AC8" s="41">
        <v>443917</v>
      </c>
      <c r="AD8" s="41">
        <v>257764</v>
      </c>
      <c r="AE8" s="41">
        <v>1019867</v>
      </c>
      <c r="AF8" s="41">
        <v>78855</v>
      </c>
      <c r="AG8" s="41">
        <v>345231</v>
      </c>
      <c r="AH8" s="41">
        <v>9279</v>
      </c>
      <c r="AI8" s="41">
        <v>40695</v>
      </c>
      <c r="AJ8" s="41">
        <v>42365</v>
      </c>
      <c r="AK8" s="41">
        <v>160111</v>
      </c>
      <c r="AL8" s="41">
        <v>8548</v>
      </c>
      <c r="AM8" s="41">
        <v>38132</v>
      </c>
      <c r="AN8" s="41">
        <v>26655</v>
      </c>
      <c r="AO8" s="41">
        <v>109964</v>
      </c>
      <c r="AP8" s="41">
        <v>315663</v>
      </c>
      <c r="AQ8" s="41">
        <v>962110</v>
      </c>
      <c r="AR8" s="41">
        <v>475322</v>
      </c>
      <c r="AS8" s="41">
        <v>1363224</v>
      </c>
      <c r="AT8" s="41">
        <v>273860</v>
      </c>
      <c r="AU8" s="41">
        <v>835293</v>
      </c>
      <c r="AV8" s="41">
        <v>3710</v>
      </c>
      <c r="AW8" s="41">
        <v>13333</v>
      </c>
      <c r="AX8" s="41">
        <v>43198</v>
      </c>
      <c r="AY8" s="41">
        <v>255304</v>
      </c>
      <c r="AZ8" s="41">
        <v>30071</v>
      </c>
      <c r="BA8" s="41">
        <v>94631</v>
      </c>
      <c r="BB8" s="41">
        <v>69197</v>
      </c>
      <c r="BC8" s="41">
        <v>186169</v>
      </c>
      <c r="BD8" s="41">
        <v>68759</v>
      </c>
      <c r="BE8" s="41">
        <v>275514</v>
      </c>
      <c r="BF8" s="41">
        <v>23219</v>
      </c>
      <c r="BG8" s="41">
        <v>87724</v>
      </c>
      <c r="BH8" s="41">
        <v>122073</v>
      </c>
      <c r="BI8" s="41">
        <v>460914</v>
      </c>
      <c r="BJ8" s="41">
        <v>195360</v>
      </c>
      <c r="BK8" s="41">
        <v>1643820</v>
      </c>
      <c r="BL8" s="147">
        <v>354662</v>
      </c>
      <c r="BM8" s="147">
        <v>960007</v>
      </c>
      <c r="BN8" s="41">
        <v>63400</v>
      </c>
      <c r="BO8" s="41">
        <v>241010</v>
      </c>
      <c r="BP8" s="41">
        <f t="shared" si="0"/>
        <v>2980529.19</v>
      </c>
      <c r="BQ8" s="41">
        <f t="shared" si="0"/>
        <v>12303443.817</v>
      </c>
    </row>
    <row r="9" spans="1:69" x14ac:dyDescent="0.25">
      <c r="A9" s="65" t="s">
        <v>174</v>
      </c>
      <c r="B9" s="41">
        <v>38.853999999999999</v>
      </c>
      <c r="C9" s="41">
        <v>324.45499999999998</v>
      </c>
      <c r="D9" s="41">
        <v>3001</v>
      </c>
      <c r="E9" s="41">
        <v>5530</v>
      </c>
      <c r="F9" s="41">
        <v>2783</v>
      </c>
      <c r="G9" s="41">
        <v>10805</v>
      </c>
      <c r="H9" s="41">
        <v>31169</v>
      </c>
      <c r="I9" s="41">
        <v>125242</v>
      </c>
      <c r="J9" s="141">
        <v>21883</v>
      </c>
      <c r="K9" s="141">
        <v>84186</v>
      </c>
      <c r="L9" s="41">
        <v>14948</v>
      </c>
      <c r="M9" s="41">
        <v>54995</v>
      </c>
      <c r="N9" s="41">
        <v>4233</v>
      </c>
      <c r="O9" s="41">
        <v>25110</v>
      </c>
      <c r="P9" s="41">
        <v>2243</v>
      </c>
      <c r="Q9" s="41">
        <v>6237</v>
      </c>
      <c r="R9" s="41">
        <v>7108</v>
      </c>
      <c r="S9" s="41">
        <v>7181</v>
      </c>
      <c r="T9" s="41">
        <v>799</v>
      </c>
      <c r="U9" s="41">
        <v>1311</v>
      </c>
      <c r="V9" s="41">
        <v>69877.72</v>
      </c>
      <c r="W9" s="41">
        <v>171571.26</v>
      </c>
      <c r="X9" s="41">
        <v>52590</v>
      </c>
      <c r="Y9" s="41">
        <v>190129</v>
      </c>
      <c r="Z9" s="41"/>
      <c r="AA9" s="41"/>
      <c r="AB9" s="41">
        <v>42029</v>
      </c>
      <c r="AC9" s="41">
        <v>166144</v>
      </c>
      <c r="AD9" s="41">
        <v>168432</v>
      </c>
      <c r="AE9" s="41">
        <v>596353</v>
      </c>
      <c r="AF9" s="41">
        <v>52970</v>
      </c>
      <c r="AG9" s="41">
        <v>136986</v>
      </c>
      <c r="AH9" s="41">
        <v>3076</v>
      </c>
      <c r="AI9" s="41">
        <v>11154</v>
      </c>
      <c r="AJ9" s="41">
        <v>34838</v>
      </c>
      <c r="AK9" s="41">
        <v>139412</v>
      </c>
      <c r="AL9" s="41">
        <v>5006</v>
      </c>
      <c r="AM9" s="41">
        <v>20167</v>
      </c>
      <c r="AN9" s="41">
        <v>38613</v>
      </c>
      <c r="AO9" s="41">
        <v>125449</v>
      </c>
      <c r="AP9" s="41">
        <v>32257</v>
      </c>
      <c r="AQ9" s="41">
        <v>73376</v>
      </c>
      <c r="AR9" s="41">
        <v>355838</v>
      </c>
      <c r="AS9" s="41">
        <v>924148</v>
      </c>
      <c r="AT9" s="41">
        <v>67533</v>
      </c>
      <c r="AU9" s="41">
        <v>189298</v>
      </c>
      <c r="AV9" s="41">
        <v>2158</v>
      </c>
      <c r="AW9" s="41">
        <v>7311</v>
      </c>
      <c r="AX9" s="41">
        <v>63172</v>
      </c>
      <c r="AY9" s="41">
        <v>297251</v>
      </c>
      <c r="AZ9" s="41">
        <v>12722</v>
      </c>
      <c r="BA9" s="41">
        <v>38189</v>
      </c>
      <c r="BB9" s="41">
        <v>25464</v>
      </c>
      <c r="BC9" s="41">
        <v>63035</v>
      </c>
      <c r="BD9" s="41">
        <v>49028</v>
      </c>
      <c r="BE9" s="41">
        <v>206337</v>
      </c>
      <c r="BF9" s="41">
        <v>7595</v>
      </c>
      <c r="BG9" s="41">
        <v>27602</v>
      </c>
      <c r="BH9" s="41">
        <v>43155</v>
      </c>
      <c r="BI9" s="41">
        <v>211493</v>
      </c>
      <c r="BJ9" s="41">
        <v>10577</v>
      </c>
      <c r="BK9" s="41">
        <v>55267</v>
      </c>
      <c r="BL9" s="147">
        <v>79602</v>
      </c>
      <c r="BM9" s="147">
        <v>289571</v>
      </c>
      <c r="BN9" s="41">
        <v>52420</v>
      </c>
      <c r="BO9" s="41">
        <v>152010</v>
      </c>
      <c r="BP9" s="41">
        <f t="shared" si="0"/>
        <v>1357158.574</v>
      </c>
      <c r="BQ9" s="41">
        <f t="shared" si="0"/>
        <v>4413174.7149999999</v>
      </c>
    </row>
    <row r="10" spans="1:69" x14ac:dyDescent="0.25">
      <c r="A10" s="65" t="s">
        <v>175</v>
      </c>
      <c r="B10" s="41">
        <v>180.696</v>
      </c>
      <c r="C10" s="41">
        <v>290.596</v>
      </c>
      <c r="D10" s="41">
        <v>10650</v>
      </c>
      <c r="E10" s="41">
        <v>25506</v>
      </c>
      <c r="F10" s="41">
        <v>1435</v>
      </c>
      <c r="G10" s="41">
        <v>7184</v>
      </c>
      <c r="H10" s="41">
        <v>26590</v>
      </c>
      <c r="I10" s="41">
        <v>75162</v>
      </c>
      <c r="J10" s="41">
        <v>49531</v>
      </c>
      <c r="K10" s="41">
        <v>173280</v>
      </c>
      <c r="L10" s="41">
        <v>6642</v>
      </c>
      <c r="M10" s="41">
        <v>20840</v>
      </c>
      <c r="N10" s="41">
        <v>10141</v>
      </c>
      <c r="O10" s="41">
        <v>92828</v>
      </c>
      <c r="P10" s="41">
        <v>11206</v>
      </c>
      <c r="Q10" s="41">
        <v>38326</v>
      </c>
      <c r="R10" s="41">
        <v>987</v>
      </c>
      <c r="S10" s="41">
        <v>1755</v>
      </c>
      <c r="T10" s="41">
        <v>139</v>
      </c>
      <c r="U10" s="41">
        <v>203</v>
      </c>
      <c r="V10" s="41">
        <v>4320.2</v>
      </c>
      <c r="W10" s="41">
        <v>13439.29</v>
      </c>
      <c r="X10" s="41">
        <v>17184</v>
      </c>
      <c r="Y10" s="41">
        <v>62600</v>
      </c>
      <c r="Z10" s="41">
        <v>1628</v>
      </c>
      <c r="AA10" s="41">
        <v>2148</v>
      </c>
      <c r="AB10" s="41">
        <v>34382</v>
      </c>
      <c r="AC10" s="41">
        <v>124920</v>
      </c>
      <c r="AD10" s="41">
        <v>30633</v>
      </c>
      <c r="AE10" s="41">
        <v>106707</v>
      </c>
      <c r="AF10" s="41">
        <v>25422</v>
      </c>
      <c r="AG10" s="41">
        <v>71989</v>
      </c>
      <c r="AH10" s="41">
        <v>1377</v>
      </c>
      <c r="AI10" s="41">
        <v>5692</v>
      </c>
      <c r="AJ10" s="41">
        <v>7779</v>
      </c>
      <c r="AK10" s="41">
        <v>22718</v>
      </c>
      <c r="AL10" s="41">
        <v>1744</v>
      </c>
      <c r="AM10" s="41">
        <v>12703</v>
      </c>
      <c r="AN10" s="41">
        <v>12769</v>
      </c>
      <c r="AO10" s="41">
        <v>31009</v>
      </c>
      <c r="AP10" s="41">
        <v>95623</v>
      </c>
      <c r="AQ10" s="41">
        <v>245643</v>
      </c>
      <c r="AR10" s="41">
        <v>124521</v>
      </c>
      <c r="AS10" s="41">
        <v>396675</v>
      </c>
      <c r="AT10" s="41">
        <v>77094</v>
      </c>
      <c r="AU10" s="41">
        <v>211615</v>
      </c>
      <c r="AV10" s="41">
        <v>138</v>
      </c>
      <c r="AW10" s="41">
        <v>643</v>
      </c>
      <c r="AX10" s="41">
        <v>17761</v>
      </c>
      <c r="AY10" s="41">
        <v>67623</v>
      </c>
      <c r="AZ10" s="41">
        <v>16095</v>
      </c>
      <c r="BA10" s="41">
        <v>48888</v>
      </c>
      <c r="BB10" s="41">
        <v>17004</v>
      </c>
      <c r="BC10" s="41">
        <v>47599</v>
      </c>
      <c r="BD10" s="41">
        <v>41365</v>
      </c>
      <c r="BE10" s="41">
        <v>115941</v>
      </c>
      <c r="BF10" s="41">
        <v>9956</v>
      </c>
      <c r="BG10" s="41">
        <v>31564</v>
      </c>
      <c r="BH10" s="41">
        <v>76252</v>
      </c>
      <c r="BI10" s="41">
        <v>204636</v>
      </c>
      <c r="BJ10" s="41">
        <v>25403</v>
      </c>
      <c r="BK10" s="41">
        <v>72305</v>
      </c>
      <c r="BL10" s="85">
        <v>56920</v>
      </c>
      <c r="BM10" s="85">
        <v>215542</v>
      </c>
      <c r="BN10" s="41">
        <v>35291</v>
      </c>
      <c r="BO10" s="41">
        <v>56259</v>
      </c>
      <c r="BP10" s="41">
        <f t="shared" si="0"/>
        <v>848162.89599999995</v>
      </c>
      <c r="BQ10" s="41">
        <f t="shared" si="0"/>
        <v>2604232.8859999999</v>
      </c>
    </row>
    <row r="11" spans="1:69" x14ac:dyDescent="0.25">
      <c r="A11" s="65" t="s">
        <v>176</v>
      </c>
      <c r="B11" s="41">
        <v>698.95500000000004</v>
      </c>
      <c r="C11" s="41">
        <v>1055.6980000000001</v>
      </c>
      <c r="D11" s="41">
        <v>6968</v>
      </c>
      <c r="E11" s="41">
        <v>24612</v>
      </c>
      <c r="F11" s="41">
        <v>1775</v>
      </c>
      <c r="G11" s="41">
        <v>7723</v>
      </c>
      <c r="H11" s="41">
        <v>26880</v>
      </c>
      <c r="I11" s="41">
        <v>75542</v>
      </c>
      <c r="J11" s="41">
        <v>72320</v>
      </c>
      <c r="K11" s="41">
        <v>231655</v>
      </c>
      <c r="L11" s="41">
        <v>29696</v>
      </c>
      <c r="M11" s="41">
        <v>136900</v>
      </c>
      <c r="N11" s="41">
        <v>17560</v>
      </c>
      <c r="O11" s="41">
        <v>73464</v>
      </c>
      <c r="P11" s="41">
        <v>17689</v>
      </c>
      <c r="Q11" s="41">
        <v>53341</v>
      </c>
      <c r="R11" s="41">
        <v>2707</v>
      </c>
      <c r="S11" s="41">
        <v>4699</v>
      </c>
      <c r="T11" s="41">
        <v>1746</v>
      </c>
      <c r="U11" s="41">
        <v>1753</v>
      </c>
      <c r="V11" s="41">
        <v>19081.91</v>
      </c>
      <c r="W11" s="41">
        <v>25873.14</v>
      </c>
      <c r="X11" s="41">
        <v>8605</v>
      </c>
      <c r="Y11" s="41">
        <v>61826</v>
      </c>
      <c r="Z11" s="41">
        <v>310</v>
      </c>
      <c r="AA11" s="41">
        <v>1184</v>
      </c>
      <c r="AB11" s="41">
        <v>16879</v>
      </c>
      <c r="AC11" s="41">
        <v>66654</v>
      </c>
      <c r="AD11" s="41">
        <v>172329</v>
      </c>
      <c r="AE11" s="41">
        <v>527640</v>
      </c>
      <c r="AF11" s="41">
        <v>27025</v>
      </c>
      <c r="AG11" s="41">
        <v>86878</v>
      </c>
      <c r="AH11" s="41">
        <v>2394</v>
      </c>
      <c r="AI11" s="41">
        <v>9179</v>
      </c>
      <c r="AJ11" s="41">
        <v>14754</v>
      </c>
      <c r="AK11" s="41">
        <v>58086</v>
      </c>
      <c r="AL11" s="41">
        <v>4075</v>
      </c>
      <c r="AM11" s="41">
        <v>17524</v>
      </c>
      <c r="AN11" s="41">
        <v>22678</v>
      </c>
      <c r="AO11" s="41">
        <v>78764</v>
      </c>
      <c r="AP11" s="41">
        <v>125631</v>
      </c>
      <c r="AQ11" s="41">
        <v>252964</v>
      </c>
      <c r="AR11" s="41">
        <v>88084</v>
      </c>
      <c r="AS11" s="41">
        <v>297892</v>
      </c>
      <c r="AT11" s="41">
        <v>68424</v>
      </c>
      <c r="AU11" s="41">
        <v>190731</v>
      </c>
      <c r="AV11" s="41">
        <v>699</v>
      </c>
      <c r="AW11" s="41">
        <v>2416</v>
      </c>
      <c r="AX11" s="41">
        <v>18127</v>
      </c>
      <c r="AY11" s="41">
        <v>106370</v>
      </c>
      <c r="AZ11" s="41">
        <v>28259</v>
      </c>
      <c r="BA11" s="41">
        <v>76762</v>
      </c>
      <c r="BB11" s="41">
        <v>27889</v>
      </c>
      <c r="BC11" s="41">
        <v>97438</v>
      </c>
      <c r="BD11" s="41">
        <v>47795</v>
      </c>
      <c r="BE11" s="41">
        <v>168151</v>
      </c>
      <c r="BF11" s="41">
        <v>18676</v>
      </c>
      <c r="BG11" s="41">
        <v>52389</v>
      </c>
      <c r="BH11" s="41">
        <v>50857</v>
      </c>
      <c r="BI11" s="41">
        <v>165108</v>
      </c>
      <c r="BJ11" s="41">
        <v>62994</v>
      </c>
      <c r="BK11" s="41">
        <v>228372</v>
      </c>
      <c r="BL11" s="85">
        <v>189945</v>
      </c>
      <c r="BM11" s="85">
        <v>319200</v>
      </c>
      <c r="BN11" s="41">
        <v>27298</v>
      </c>
      <c r="BO11" s="41">
        <v>65075</v>
      </c>
      <c r="BP11" s="41">
        <f t="shared" si="0"/>
        <v>1220848.865</v>
      </c>
      <c r="BQ11" s="41">
        <f t="shared" si="0"/>
        <v>3567220.838</v>
      </c>
    </row>
    <row r="12" spans="1:69" x14ac:dyDescent="0.25">
      <c r="A12" s="65" t="s">
        <v>177</v>
      </c>
      <c r="B12" s="41">
        <v>10848.558000000001</v>
      </c>
      <c r="C12" s="41">
        <v>11605.454</v>
      </c>
      <c r="D12" s="41">
        <v>-28901</v>
      </c>
      <c r="E12" s="41">
        <v>29560</v>
      </c>
      <c r="F12" s="41">
        <v>8385</v>
      </c>
      <c r="G12" s="41">
        <v>24023</v>
      </c>
      <c r="H12" s="41">
        <v>67921</v>
      </c>
      <c r="I12" s="41">
        <v>159073</v>
      </c>
      <c r="J12" s="41">
        <v>29752</v>
      </c>
      <c r="K12" s="144">
        <v>69888</v>
      </c>
      <c r="L12" s="41">
        <v>582</v>
      </c>
      <c r="M12" s="41">
        <v>147592</v>
      </c>
      <c r="N12" s="41">
        <v>17984</v>
      </c>
      <c r="O12" s="41">
        <v>62115</v>
      </c>
      <c r="P12" s="41">
        <v>92349</v>
      </c>
      <c r="Q12" s="41">
        <v>327161</v>
      </c>
      <c r="R12" s="41">
        <v>140492</v>
      </c>
      <c r="S12" s="41">
        <v>205156</v>
      </c>
      <c r="T12" s="41">
        <v>10633</v>
      </c>
      <c r="U12" s="41">
        <v>11264</v>
      </c>
      <c r="V12" s="41">
        <v>27858.27</v>
      </c>
      <c r="W12" s="41">
        <v>44422.02</v>
      </c>
      <c r="X12" s="41">
        <v>97000</v>
      </c>
      <c r="Y12" s="41">
        <v>333960</v>
      </c>
      <c r="Z12" s="41">
        <v>1512</v>
      </c>
      <c r="AA12" s="41">
        <v>4687</v>
      </c>
      <c r="AB12" s="41">
        <v>238297</v>
      </c>
      <c r="AC12" s="41">
        <v>2792507</v>
      </c>
      <c r="AD12" s="41">
        <v>352449</v>
      </c>
      <c r="AE12" s="41">
        <v>1192912</v>
      </c>
      <c r="AF12" s="41">
        <v>524600</v>
      </c>
      <c r="AG12" s="41">
        <v>1472483</v>
      </c>
      <c r="AH12" s="41">
        <v>11306</v>
      </c>
      <c r="AI12" s="41">
        <v>36403</v>
      </c>
      <c r="AJ12" s="41">
        <v>82421</v>
      </c>
      <c r="AK12" s="41">
        <v>295713</v>
      </c>
      <c r="AL12" s="41">
        <v>21161</v>
      </c>
      <c r="AM12" s="41">
        <v>56215</v>
      </c>
      <c r="AN12" s="41">
        <v>112672</v>
      </c>
      <c r="AO12" s="41">
        <v>412421</v>
      </c>
      <c r="AP12" s="41">
        <v>64474</v>
      </c>
      <c r="AQ12" s="41">
        <v>236649</v>
      </c>
      <c r="AR12" s="41">
        <v>174025</v>
      </c>
      <c r="AS12" s="41">
        <v>628801</v>
      </c>
      <c r="AT12" s="41">
        <v>-26226</v>
      </c>
      <c r="AU12" s="41">
        <v>88012</v>
      </c>
      <c r="AV12" s="41">
        <v>18167</v>
      </c>
      <c r="AW12" s="41">
        <v>72511</v>
      </c>
      <c r="AX12" s="41">
        <v>26828</v>
      </c>
      <c r="AY12" s="41">
        <v>133536</v>
      </c>
      <c r="AZ12" s="41">
        <v>173360</v>
      </c>
      <c r="BA12" s="41">
        <v>600705</v>
      </c>
      <c r="BB12" s="41">
        <v>6851</v>
      </c>
      <c r="BC12" s="41">
        <v>19242</v>
      </c>
      <c r="BD12" s="41">
        <v>97850</v>
      </c>
      <c r="BE12" s="41">
        <v>382547</v>
      </c>
      <c r="BF12" s="41">
        <v>80928</v>
      </c>
      <c r="BG12" s="41">
        <v>420003</v>
      </c>
      <c r="BH12" s="41">
        <v>-6268</v>
      </c>
      <c r="BI12" s="41">
        <v>106226</v>
      </c>
      <c r="BJ12" s="41">
        <v>365433</v>
      </c>
      <c r="BK12" s="41">
        <v>1950824</v>
      </c>
      <c r="BL12" s="145">
        <v>52303</v>
      </c>
      <c r="BM12" s="145">
        <v>169779</v>
      </c>
      <c r="BN12" s="41">
        <v>45551</v>
      </c>
      <c r="BO12" s="41">
        <v>135949</v>
      </c>
      <c r="BP12" s="41">
        <f t="shared" si="0"/>
        <v>2892597.8279999997</v>
      </c>
      <c r="BQ12" s="41">
        <f t="shared" si="0"/>
        <v>12633944.473999999</v>
      </c>
    </row>
    <row r="13" spans="1:69" x14ac:dyDescent="0.25">
      <c r="A13" s="65" t="s">
        <v>178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>
        <v>0</v>
      </c>
      <c r="AQ13" s="41">
        <v>0</v>
      </c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>
        <f t="shared" ref="BQ13:BQ18" si="1">C13+E13+G13+I13+K13+M13+O13+Q13+S13+U13+W13+Y13+AA13+AC13+AE13+AG13+AI13+AK13+AM13+AO13+AQ13+AS13+AU13+AW13+AY13+BA13+BC13+BE13+BG13+BI13+BK13+BM13+BO13</f>
        <v>0</v>
      </c>
    </row>
    <row r="14" spans="1:69" x14ac:dyDescent="0.25">
      <c r="A14" s="65" t="s">
        <v>179</v>
      </c>
      <c r="B14" s="41">
        <v>800</v>
      </c>
      <c r="C14" s="41">
        <v>800</v>
      </c>
      <c r="D14" s="41">
        <v>1000</v>
      </c>
      <c r="E14" s="41">
        <v>1900</v>
      </c>
      <c r="F14" s="41">
        <v>1842</v>
      </c>
      <c r="G14" s="41">
        <v>4688</v>
      </c>
      <c r="H14" s="41">
        <v>360</v>
      </c>
      <c r="I14" s="41">
        <v>2000</v>
      </c>
      <c r="J14" s="141">
        <v>1299</v>
      </c>
      <c r="K14" s="141">
        <v>7599</v>
      </c>
      <c r="L14" s="41">
        <v>532</v>
      </c>
      <c r="M14" s="41">
        <v>3000</v>
      </c>
      <c r="N14" s="41">
        <v>120</v>
      </c>
      <c r="O14" s="41">
        <v>2201</v>
      </c>
      <c r="P14" s="41">
        <v>981</v>
      </c>
      <c r="Q14" s="41">
        <v>1400</v>
      </c>
      <c r="R14" s="41">
        <v>201</v>
      </c>
      <c r="S14" s="41">
        <v>730</v>
      </c>
      <c r="T14" s="41">
        <v>153</v>
      </c>
      <c r="U14" s="41">
        <v>174</v>
      </c>
      <c r="V14" s="41">
        <v>6880.02</v>
      </c>
      <c r="W14" s="41">
        <v>6885.39</v>
      </c>
      <c r="X14" s="41">
        <v>513</v>
      </c>
      <c r="Y14" s="41">
        <v>3337</v>
      </c>
      <c r="Z14" s="41">
        <v>-175</v>
      </c>
      <c r="AA14" s="41">
        <v>200</v>
      </c>
      <c r="AB14" s="41">
        <v>1532</v>
      </c>
      <c r="AC14" s="41">
        <v>6134</v>
      </c>
      <c r="AD14" s="41">
        <v>4537</v>
      </c>
      <c r="AE14" s="41">
        <v>17940</v>
      </c>
      <c r="AF14" s="41">
        <v>725</v>
      </c>
      <c r="AG14" s="41">
        <v>2900</v>
      </c>
      <c r="AH14" s="41">
        <v>433</v>
      </c>
      <c r="AI14" s="41">
        <v>2000</v>
      </c>
      <c r="AJ14" s="41">
        <v>700</v>
      </c>
      <c r="AK14" s="41">
        <v>3200</v>
      </c>
      <c r="AL14" s="41">
        <v>908</v>
      </c>
      <c r="AM14" s="41">
        <v>4155</v>
      </c>
      <c r="AN14" s="41">
        <v>821</v>
      </c>
      <c r="AO14" s="41">
        <v>3180</v>
      </c>
      <c r="AP14" s="41">
        <v>40473</v>
      </c>
      <c r="AQ14" s="41">
        <v>44668</v>
      </c>
      <c r="AR14" s="41">
        <v>31261</v>
      </c>
      <c r="AS14" s="41">
        <v>117868</v>
      </c>
      <c r="AT14" s="41">
        <v>34368</v>
      </c>
      <c r="AU14" s="41">
        <v>44047</v>
      </c>
      <c r="AV14" s="41">
        <v>570</v>
      </c>
      <c r="AW14" s="41">
        <v>659</v>
      </c>
      <c r="AX14" s="41">
        <v>-1171</v>
      </c>
      <c r="AY14" s="41">
        <v>5032</v>
      </c>
      <c r="AZ14" s="41">
        <v>895</v>
      </c>
      <c r="BA14" s="41">
        <v>2395</v>
      </c>
      <c r="BB14" s="41">
        <v>600</v>
      </c>
      <c r="BC14" s="41">
        <v>2400</v>
      </c>
      <c r="BD14" s="41">
        <v>912</v>
      </c>
      <c r="BE14" s="41">
        <v>5550</v>
      </c>
      <c r="BF14" s="41">
        <v>338</v>
      </c>
      <c r="BG14" s="41">
        <v>1199</v>
      </c>
      <c r="BH14" s="41">
        <v>3500</v>
      </c>
      <c r="BI14" s="41">
        <v>4715</v>
      </c>
      <c r="BJ14" s="41">
        <v>1950</v>
      </c>
      <c r="BK14" s="41">
        <v>5068</v>
      </c>
      <c r="BL14" s="147">
        <v>8279</v>
      </c>
      <c r="BM14" s="147">
        <v>50244</v>
      </c>
      <c r="BN14" s="41">
        <v>624</v>
      </c>
      <c r="BO14" s="41">
        <v>2500</v>
      </c>
      <c r="BP14" s="41">
        <f>B14+D14+F14+H14+J14+L14+N14+P14+R14+T14+V14+X14+Z14+AB14+AD14+AF14+AH14+AJ14+AL14+AN14+AP14+AR14+AT14+AV14+AX14+AZ14+BB14+BD14+BF14+BH14+BJ14+BL14+BN14</f>
        <v>146761.02000000002</v>
      </c>
      <c r="BQ14" s="41">
        <f t="shared" si="1"/>
        <v>360768.39</v>
      </c>
    </row>
    <row r="15" spans="1:69" ht="15" customHeight="1" x14ac:dyDescent="0.25">
      <c r="A15" s="65" t="s">
        <v>180</v>
      </c>
      <c r="B15" s="41"/>
      <c r="C15" s="41"/>
      <c r="D15" s="41"/>
      <c r="E15" s="41"/>
      <c r="F15" s="41"/>
      <c r="G15" s="41"/>
      <c r="H15" s="41"/>
      <c r="I15" s="41"/>
      <c r="J15" s="146"/>
      <c r="K15" s="1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148"/>
      <c r="BM15" s="148"/>
      <c r="BN15" s="41"/>
      <c r="BO15" s="41"/>
      <c r="BP15" s="41">
        <f>B15+D15+F15+H15+J15+L15+N15+P15+R15+T15+V15+X15+Z15+AB15+AD15+AF15+AH15+AJ15+AL15+AN15+AP15+AR15+AT15+AV15+AX15+AZ15+BB15+BD15+BF15+BH15+BJ15+BL15+BN15</f>
        <v>0</v>
      </c>
      <c r="BQ15" s="41">
        <f t="shared" si="1"/>
        <v>0</v>
      </c>
    </row>
    <row r="16" spans="1:69" x14ac:dyDescent="0.25">
      <c r="A16" s="65" t="s">
        <v>181</v>
      </c>
      <c r="B16" s="41"/>
      <c r="C16" s="41"/>
      <c r="D16" s="41"/>
      <c r="E16" s="41"/>
      <c r="F16" s="41"/>
      <c r="G16" s="41"/>
      <c r="H16" s="41">
        <v>200</v>
      </c>
      <c r="I16" s="41">
        <v>200</v>
      </c>
      <c r="J16" s="142">
        <v>225</v>
      </c>
      <c r="K16" s="142">
        <v>900</v>
      </c>
      <c r="L16" s="41">
        <v>250</v>
      </c>
      <c r="M16" s="41">
        <v>250</v>
      </c>
      <c r="N16" s="41">
        <v>-577</v>
      </c>
      <c r="O16" s="41">
        <v>300</v>
      </c>
      <c r="P16" s="41"/>
      <c r="Q16" s="41"/>
      <c r="R16" s="41">
        <v>200</v>
      </c>
      <c r="S16" s="41">
        <v>200</v>
      </c>
      <c r="T16" s="41"/>
      <c r="U16" s="41"/>
      <c r="V16" s="41">
        <v>1276.48</v>
      </c>
      <c r="W16" s="41">
        <v>1284.06</v>
      </c>
      <c r="X16" s="41">
        <v>85</v>
      </c>
      <c r="Y16" s="41">
        <v>368</v>
      </c>
      <c r="Z16" s="41"/>
      <c r="AA16" s="41">
        <v>35</v>
      </c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>
        <v>25</v>
      </c>
      <c r="AO16" s="41">
        <v>25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>
        <v>62</v>
      </c>
      <c r="BC16" s="41">
        <v>250</v>
      </c>
      <c r="BD16" s="41"/>
      <c r="BE16" s="41"/>
      <c r="BF16" s="41">
        <v>7</v>
      </c>
      <c r="BG16" s="41">
        <v>28</v>
      </c>
      <c r="BH16" s="41">
        <v>2000</v>
      </c>
      <c r="BI16" s="41">
        <v>2000</v>
      </c>
      <c r="BJ16" s="41"/>
      <c r="BK16" s="41"/>
      <c r="BL16" s="148"/>
      <c r="BM16" s="148"/>
      <c r="BN16" s="41"/>
      <c r="BO16" s="41"/>
      <c r="BP16" s="41">
        <f>B16+D16+F16+H16+J16+L16+N16+P16+R16+T16+V16+X16+Z16+AB16+AD16+AF16+AH16+AJ16+AL16+AN16+AP16+AR16+AT16+AV16+AX16+AZ16+BB16+BD16+BF16+BH16+BJ16+BL16+BN16</f>
        <v>3753.48</v>
      </c>
      <c r="BQ16" s="41">
        <f t="shared" si="1"/>
        <v>5840.0599999999995</v>
      </c>
    </row>
    <row r="17" spans="1:69" x14ac:dyDescent="0.25">
      <c r="A17" s="65" t="s">
        <v>182</v>
      </c>
      <c r="B17" s="41"/>
      <c r="C17" s="41"/>
      <c r="D17" s="41"/>
      <c r="E17" s="41"/>
      <c r="F17" s="41"/>
      <c r="G17" s="41"/>
      <c r="H17" s="41"/>
      <c r="I17" s="41"/>
      <c r="J17" s="142"/>
      <c r="K17" s="1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>
        <v>-60</v>
      </c>
      <c r="AU17" s="41">
        <v>115</v>
      </c>
      <c r="AV17" s="41">
        <v>180</v>
      </c>
      <c r="AW17" s="41">
        <v>180</v>
      </c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148"/>
      <c r="BM17" s="148"/>
      <c r="BN17" s="41"/>
      <c r="BO17" s="41"/>
      <c r="BP17" s="41">
        <f>B17+D17+F17+H17+J17+L17+N17+P17+R17+T17+V17+X17+Z17+AB17+AD17+AF17+AH17+AJ17+AL17+AN17+AP17+AR17+AT17+AV17+AX17+AZ17+BB17+BD17+BF17+BH17+BJ17+BL17+BN17</f>
        <v>120</v>
      </c>
      <c r="BQ17" s="41">
        <f t="shared" si="1"/>
        <v>295</v>
      </c>
    </row>
    <row r="18" spans="1:69" x14ac:dyDescent="0.25">
      <c r="A18" s="65" t="s">
        <v>183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>
        <v>40</v>
      </c>
      <c r="M18" s="41">
        <v>40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>
        <v>2</v>
      </c>
      <c r="AU18" s="41">
        <v>8</v>
      </c>
      <c r="AV18" s="41">
        <v>7</v>
      </c>
      <c r="AW18" s="41">
        <v>64</v>
      </c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>
        <f>B18+D18+F18+H18+J18+L18+N18+P18+R18+T18+V18+X18+Z18+AB18+AD18+AF18+AH18+AJ18+AL18+AN18+AP18+AR18+AT18+AV18+AX18+AZ18+BB18+BD18+BF18+BH18+BJ18+BL18+BN18</f>
        <v>49</v>
      </c>
      <c r="BQ18" s="41">
        <f t="shared" si="1"/>
        <v>112</v>
      </c>
    </row>
    <row r="19" spans="1:69" x14ac:dyDescent="0.25">
      <c r="A19" s="65" t="s">
        <v>184</v>
      </c>
      <c r="B19" s="41"/>
      <c r="C19" s="41"/>
      <c r="D19" s="41"/>
      <c r="E19" s="41"/>
      <c r="F19" s="41"/>
      <c r="G19" s="41"/>
      <c r="H19" s="41">
        <v>220</v>
      </c>
      <c r="I19" s="41">
        <v>220</v>
      </c>
      <c r="J19" s="41">
        <v>449</v>
      </c>
      <c r="K19" s="41">
        <v>959</v>
      </c>
      <c r="L19" s="41"/>
      <c r="M19" s="41"/>
      <c r="N19" s="41">
        <v>831</v>
      </c>
      <c r="O19" s="41">
        <v>1094</v>
      </c>
      <c r="P19" s="41">
        <v>283</v>
      </c>
      <c r="Q19" s="41">
        <v>200</v>
      </c>
      <c r="R19" s="41"/>
      <c r="S19" s="41"/>
      <c r="T19" s="41"/>
      <c r="U19" s="41"/>
      <c r="V19" s="41">
        <v>-7813.18</v>
      </c>
      <c r="W19" s="41">
        <v>7384.1</v>
      </c>
      <c r="X19" s="41"/>
      <c r="Y19" s="41"/>
      <c r="Z19" s="41">
        <v>225</v>
      </c>
      <c r="AA19" s="41">
        <v>225</v>
      </c>
      <c r="AB19" s="41">
        <v>210</v>
      </c>
      <c r="AC19" s="41">
        <v>2640</v>
      </c>
      <c r="AD19" s="41">
        <v>128</v>
      </c>
      <c r="AE19" s="41">
        <v>739</v>
      </c>
      <c r="AF19" s="41">
        <v>175</v>
      </c>
      <c r="AG19" s="41">
        <v>700</v>
      </c>
      <c r="AH19" s="41">
        <v>66</v>
      </c>
      <c r="AI19" s="41">
        <v>66</v>
      </c>
      <c r="AJ19" s="41">
        <v>7</v>
      </c>
      <c r="AK19" s="41">
        <v>148</v>
      </c>
      <c r="AL19" s="41"/>
      <c r="AM19" s="41"/>
      <c r="AN19" s="41"/>
      <c r="AO19" s="41"/>
      <c r="AP19" s="41"/>
      <c r="AQ19" s="41"/>
      <c r="AR19" s="41"/>
      <c r="AS19" s="41"/>
      <c r="AT19" s="41">
        <v>1072</v>
      </c>
      <c r="AU19" s="41">
        <v>1336</v>
      </c>
      <c r="AV19" s="41">
        <v>-14</v>
      </c>
      <c r="AW19" s="41">
        <v>8</v>
      </c>
      <c r="AX19" s="41"/>
      <c r="AY19" s="41"/>
      <c r="AZ19" s="41"/>
      <c r="BA19" s="41"/>
      <c r="BB19" s="41">
        <v>28</v>
      </c>
      <c r="BC19" s="41">
        <v>212</v>
      </c>
      <c r="BD19" s="41">
        <v>299</v>
      </c>
      <c r="BE19" s="41">
        <v>1257</v>
      </c>
      <c r="BF19" s="41"/>
      <c r="BG19" s="41"/>
      <c r="BH19" s="41">
        <v>514</v>
      </c>
      <c r="BI19" s="41">
        <v>514</v>
      </c>
      <c r="BJ19" s="41">
        <v>2</v>
      </c>
      <c r="BK19" s="41">
        <v>2751</v>
      </c>
      <c r="BL19" s="41">
        <v>901</v>
      </c>
      <c r="BM19" s="41">
        <v>2845</v>
      </c>
      <c r="BN19" s="41">
        <v>99</v>
      </c>
      <c r="BO19" s="41">
        <v>400</v>
      </c>
      <c r="BP19" s="41">
        <f>B19+D19+F19+H19+J19+L19+N19+P19+R19+T19+V19+X19+Z19+AB19+AD19+AF19+AH19+AJ19+AL19+AN19+AP19+AR19+AT19+AV19+AX19+AZ19+BB19+BD19+BF21+BH19+BJ19+BL19+BN19</f>
        <v>-1698.1800000000003</v>
      </c>
      <c r="BQ19" s="41">
        <f>C19+E19+G19+I19+K19+M19+O19+P19+S19+U19+W19+Y19+AA19+AC19+AE19+AG19+AI19+AK19+AM19+AO19+AQ19+AS19+AU19+AW19+AY19+BA19+BC19+BE19+BG19+BI19+BK19+BM19+BO19</f>
        <v>23781.1</v>
      </c>
    </row>
    <row r="20" spans="1:69" x14ac:dyDescent="0.25">
      <c r="A20" s="65" t="s">
        <v>185</v>
      </c>
      <c r="B20" s="41"/>
      <c r="C20" s="41"/>
      <c r="D20" s="41">
        <v>268</v>
      </c>
      <c r="E20" s="41">
        <v>268</v>
      </c>
      <c r="F20" s="41"/>
      <c r="G20" s="41"/>
      <c r="H20" s="41">
        <v>4</v>
      </c>
      <c r="I20" s="41">
        <v>55</v>
      </c>
      <c r="J20" s="144">
        <v>-1140</v>
      </c>
      <c r="K20" s="144">
        <v>457</v>
      </c>
      <c r="L20" s="41">
        <v>11</v>
      </c>
      <c r="M20" s="41">
        <v>289</v>
      </c>
      <c r="N20" s="41">
        <v>51</v>
      </c>
      <c r="O20" s="41">
        <v>51</v>
      </c>
      <c r="P20" s="41">
        <v>-83</v>
      </c>
      <c r="Q20" s="41">
        <v>0</v>
      </c>
      <c r="R20" s="41">
        <v>9</v>
      </c>
      <c r="S20" s="41">
        <v>31</v>
      </c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>
        <v>15</v>
      </c>
      <c r="AI20" s="41">
        <v>17</v>
      </c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>
        <v>182</v>
      </c>
      <c r="BC20" s="41">
        <v>315</v>
      </c>
      <c r="BD20" s="41">
        <v>2</v>
      </c>
      <c r="BE20" s="41">
        <v>55</v>
      </c>
      <c r="BF20" s="41">
        <v>50</v>
      </c>
      <c r="BG20" s="41">
        <v>307</v>
      </c>
      <c r="BH20" s="41">
        <v>580</v>
      </c>
      <c r="BI20" s="41">
        <v>1026</v>
      </c>
      <c r="BJ20" s="41">
        <v>-2</v>
      </c>
      <c r="BK20" s="41">
        <v>113</v>
      </c>
      <c r="BL20" s="41"/>
      <c r="BM20" s="41"/>
      <c r="BN20" s="41">
        <v>101</v>
      </c>
      <c r="BO20" s="41">
        <v>548</v>
      </c>
      <c r="BP20" s="41">
        <f>B20+D20+F20+H20+J20+L20+N20+P20+R20+T20+V21+X20+Z20+AB21+AD21+AF20+AH20+AJ22+AL20+AN20+AP20+AR20+AT20+AV20+AX20+AZ20+BB20+BD20+BF22+BH20+BJ20+BM21+BN20</f>
        <v>1308359.8</v>
      </c>
      <c r="BQ20" s="41">
        <f>C20+E20+G20+I20+K20+M20+O20+P20+S20+U20+W20+Y20+AA20+AC20+AE20+AG20+AI20+AK21+AM20+AO20+AQ20+AS20+AU20+AW20+AY20+BA20+BC20+BE20+BG20+BI20+BK20+BM20+BO20</f>
        <v>77130</v>
      </c>
    </row>
    <row r="21" spans="1:69" x14ac:dyDescent="0.25">
      <c r="A21" s="65" t="s">
        <v>186</v>
      </c>
      <c r="B21" s="41">
        <v>8701.4689999999991</v>
      </c>
      <c r="C21" s="41">
        <v>16921.657999999999</v>
      </c>
      <c r="D21" s="41">
        <v>109766</v>
      </c>
      <c r="E21" s="41">
        <v>333947</v>
      </c>
      <c r="F21" s="41">
        <v>11034</v>
      </c>
      <c r="G21" s="41">
        <v>31105</v>
      </c>
      <c r="H21" s="41">
        <v>702226</v>
      </c>
      <c r="I21" s="41">
        <v>1010276</v>
      </c>
      <c r="J21" s="41">
        <v>110380</v>
      </c>
      <c r="K21" s="41">
        <v>451265</v>
      </c>
      <c r="L21" s="41">
        <v>245463</v>
      </c>
      <c r="M21" s="41">
        <v>531538</v>
      </c>
      <c r="N21" s="41">
        <v>628708</v>
      </c>
      <c r="O21" s="41">
        <v>1364424</v>
      </c>
      <c r="P21" s="41">
        <v>114034</v>
      </c>
      <c r="Q21" s="41">
        <v>311639</v>
      </c>
      <c r="R21" s="41">
        <v>4907</v>
      </c>
      <c r="S21" s="41">
        <v>50271</v>
      </c>
      <c r="T21" s="41">
        <v>2739</v>
      </c>
      <c r="U21" s="41">
        <v>2739</v>
      </c>
      <c r="V21" s="41">
        <v>32590.799999999999</v>
      </c>
      <c r="W21" s="41">
        <v>111541.36</v>
      </c>
      <c r="X21" s="41">
        <v>94253</v>
      </c>
      <c r="Y21" s="41">
        <v>210415</v>
      </c>
      <c r="Z21" s="41">
        <v>142411</v>
      </c>
      <c r="AA21" s="41">
        <v>157020</v>
      </c>
      <c r="AB21" s="41">
        <v>343962</v>
      </c>
      <c r="AC21" s="41">
        <v>1651010</v>
      </c>
      <c r="AD21" s="41">
        <v>667244</v>
      </c>
      <c r="AE21" s="41">
        <v>1763338</v>
      </c>
      <c r="AF21" s="41">
        <v>108192</v>
      </c>
      <c r="AG21" s="41">
        <v>155361</v>
      </c>
      <c r="AH21" s="41">
        <v>7199</v>
      </c>
      <c r="AI21" s="41">
        <v>38861</v>
      </c>
      <c r="AJ21" s="41">
        <v>6598</v>
      </c>
      <c r="AK21" s="41">
        <v>73681</v>
      </c>
      <c r="AL21" s="41">
        <v>57658</v>
      </c>
      <c r="AM21" s="41">
        <v>285504</v>
      </c>
      <c r="AN21" s="41">
        <v>212102</v>
      </c>
      <c r="AO21" s="41">
        <v>418070</v>
      </c>
      <c r="AP21" s="41">
        <v>215599</v>
      </c>
      <c r="AQ21" s="41">
        <v>310217</v>
      </c>
      <c r="AR21" s="41">
        <v>166293</v>
      </c>
      <c r="AS21" s="41">
        <v>630972</v>
      </c>
      <c r="AT21" s="41">
        <v>100348</v>
      </c>
      <c r="AU21" s="41">
        <v>246123</v>
      </c>
      <c r="AV21" s="41">
        <v>34198</v>
      </c>
      <c r="AW21" s="41">
        <v>34624</v>
      </c>
      <c r="AX21" s="41">
        <v>624360</v>
      </c>
      <c r="AY21" s="41">
        <v>3685545</v>
      </c>
      <c r="AZ21" s="41">
        <v>189100</v>
      </c>
      <c r="BA21" s="41">
        <v>790254</v>
      </c>
      <c r="BB21" s="41">
        <v>39569</v>
      </c>
      <c r="BC21" s="41">
        <v>159952</v>
      </c>
      <c r="BD21" s="41">
        <v>76894</v>
      </c>
      <c r="BE21" s="41">
        <v>1416644</v>
      </c>
      <c r="BF21" s="41">
        <v>620</v>
      </c>
      <c r="BG21" s="41">
        <v>1350</v>
      </c>
      <c r="BH21" s="41">
        <v>562586</v>
      </c>
      <c r="BI21" s="41">
        <v>1093243</v>
      </c>
      <c r="BJ21" s="41">
        <v>627414</v>
      </c>
      <c r="BK21" s="41">
        <v>2675849</v>
      </c>
      <c r="BL21" s="41">
        <v>84729</v>
      </c>
      <c r="BM21" s="41">
        <v>261475</v>
      </c>
      <c r="BN21" s="42">
        <v>120647</v>
      </c>
      <c r="BO21" s="41">
        <v>251059</v>
      </c>
      <c r="BP21" s="41">
        <f>B21+D21+F21+H21+J21+L21+N21+P21+R21+T21+V21+X21+Z21+AB22+AD22+AF21+AH21+AJ21+AL21+AN21+AP21+AR21+AT21+AV21+AX21+AZ21+BB21+BD21+BF21+BH21+BJ21+BM22+BN21</f>
        <v>5713578.2690000003</v>
      </c>
      <c r="BQ21" s="41">
        <f>C21+E21+G21+I21+K21+M21+O21+Q21+S21+U21+W21+Y21+AA21+AC21+AE21+AG21+AI21+AK22+AL21+AO21+AQ21+AR21+AU21+AW21+AY21+BA21+BC21+BE21+BG21+BI21+BK21+BM21+BO21</f>
        <v>19765159.017999999</v>
      </c>
    </row>
    <row r="22" spans="1:69" x14ac:dyDescent="0.25">
      <c r="A22" s="65" t="s">
        <v>187</v>
      </c>
      <c r="B22" s="41">
        <v>85.003</v>
      </c>
      <c r="C22" s="41">
        <v>127.68</v>
      </c>
      <c r="D22" s="41">
        <v>636</v>
      </c>
      <c r="E22" s="41">
        <v>2263</v>
      </c>
      <c r="F22" s="41">
        <v>-30664</v>
      </c>
      <c r="G22" s="41">
        <v>9966</v>
      </c>
      <c r="H22" s="41">
        <v>11905</v>
      </c>
      <c r="I22" s="41">
        <v>37735</v>
      </c>
      <c r="J22" s="141">
        <v>83023</v>
      </c>
      <c r="K22" s="141">
        <v>189670</v>
      </c>
      <c r="L22" s="41">
        <v>23756</v>
      </c>
      <c r="M22" s="41">
        <v>51165</v>
      </c>
      <c r="N22" s="41">
        <v>22689</v>
      </c>
      <c r="O22" s="41">
        <v>83579</v>
      </c>
      <c r="P22" s="41">
        <v>5681</v>
      </c>
      <c r="Q22" s="41">
        <v>15201</v>
      </c>
      <c r="R22" s="41">
        <v>1</v>
      </c>
      <c r="S22" s="41">
        <v>79</v>
      </c>
      <c r="T22" s="41">
        <v>1</v>
      </c>
      <c r="U22" s="41">
        <v>1</v>
      </c>
      <c r="V22" s="41">
        <v>225.47</v>
      </c>
      <c r="W22" s="41">
        <v>714.36</v>
      </c>
      <c r="X22" s="41">
        <v>3795</v>
      </c>
      <c r="Y22" s="41">
        <v>12847</v>
      </c>
      <c r="Z22" s="41">
        <v>3270</v>
      </c>
      <c r="AA22" s="41">
        <v>3802</v>
      </c>
      <c r="AB22" s="41">
        <v>111051</v>
      </c>
      <c r="AC22" s="41">
        <v>440258</v>
      </c>
      <c r="AD22" s="41">
        <v>52829</v>
      </c>
      <c r="AE22" s="41">
        <v>193856</v>
      </c>
      <c r="AF22" s="41">
        <v>54736</v>
      </c>
      <c r="AG22" s="41">
        <v>103175</v>
      </c>
      <c r="AH22" s="41">
        <v>931</v>
      </c>
      <c r="AI22" s="41">
        <v>2678</v>
      </c>
      <c r="AJ22" s="41">
        <v>730</v>
      </c>
      <c r="AK22" s="41">
        <v>5131</v>
      </c>
      <c r="AL22" s="41">
        <v>3051</v>
      </c>
      <c r="AM22" s="41">
        <v>9297</v>
      </c>
      <c r="AN22" s="41">
        <v>3788</v>
      </c>
      <c r="AO22" s="41">
        <v>24555</v>
      </c>
      <c r="AP22" s="41">
        <v>41698</v>
      </c>
      <c r="AQ22" s="41">
        <v>173064</v>
      </c>
      <c r="AR22" s="41">
        <v>45308</v>
      </c>
      <c r="AS22" s="41">
        <v>85314</v>
      </c>
      <c r="AT22" s="41">
        <v>23156</v>
      </c>
      <c r="AU22" s="41">
        <v>80542</v>
      </c>
      <c r="AV22" s="41">
        <v>1247</v>
      </c>
      <c r="AW22" s="41">
        <v>2449</v>
      </c>
      <c r="AX22" s="41">
        <v>14396</v>
      </c>
      <c r="AY22" s="41">
        <v>53508</v>
      </c>
      <c r="AZ22" s="41">
        <v>7124</v>
      </c>
      <c r="BA22" s="41">
        <v>22016</v>
      </c>
      <c r="BB22" s="41">
        <v>12298</v>
      </c>
      <c r="BC22" s="41">
        <v>40371</v>
      </c>
      <c r="BD22" s="41">
        <v>2433</v>
      </c>
      <c r="BE22" s="41">
        <v>9719</v>
      </c>
      <c r="BF22" s="41">
        <v>2360</v>
      </c>
      <c r="BG22" s="41">
        <v>9604</v>
      </c>
      <c r="BH22" s="41">
        <v>31379</v>
      </c>
      <c r="BI22" s="41">
        <v>65706</v>
      </c>
      <c r="BJ22" s="41">
        <v>18706</v>
      </c>
      <c r="BK22" s="41">
        <v>72553</v>
      </c>
      <c r="BL22" s="41">
        <v>70414</v>
      </c>
      <c r="BM22" s="41">
        <v>193108</v>
      </c>
      <c r="BN22" s="41">
        <v>3634</v>
      </c>
      <c r="BO22" s="42">
        <v>8748</v>
      </c>
      <c r="BP22" s="41">
        <f>B22+D22+F22+H22+J22+L22+N22+P22+R22+T22+V22+X22+Z22+AB22+AD22+AF22+AH22+AJ23+AK22+AN22+AP22+AQ22+AT22+AV22+AX22+AZ22+BB22+BD22+BF22+BH22+BJ22+BL23+BN22</f>
        <v>2326073.4730000002</v>
      </c>
      <c r="BQ22" s="41">
        <f>C22+E22+G22+I22+K22+M22+O22+Q22+S22+U22+W22+Y22+AA22+AC22+AE22+AG22+AI22+AK23+AL22+AO22+AQ22+AR22+AU22+AW22+AY22+BA22+BC22+BE22+BG22+BI22+BK22+BM23+BO22</f>
        <v>7751038.04</v>
      </c>
    </row>
    <row r="23" spans="1:69" x14ac:dyDescent="0.25">
      <c r="A23" s="93" t="s">
        <v>132</v>
      </c>
      <c r="B23" s="41">
        <f>B26-B25-B24-B22-B21-B20-B19-B18-B17-B16-B15-B14-B13-B12-B11-B10-B9-B8-B7-B6-B5</f>
        <v>9794.0379999999932</v>
      </c>
      <c r="C23" s="41">
        <f>C26-C25-C24-C22-C21-C20-C19-C18-C17-C16-C15-C14-C13-C12-C11-C10-C9-C8-C7-C6-C5</f>
        <v>23000.785999999993</v>
      </c>
      <c r="D23" s="41">
        <v>636</v>
      </c>
      <c r="E23" s="41">
        <v>2263</v>
      </c>
      <c r="F23" s="41">
        <f t="shared" ref="F23:AU23" si="2">F26-F25-F24-F22-F21-F20-F19-F18-F17-F16-F15-F14-F13-F12-F11-F10-F9-F8-F7-F6-F5</f>
        <v>196472</v>
      </c>
      <c r="G23" s="41">
        <f t="shared" si="2"/>
        <v>835558</v>
      </c>
      <c r="H23" s="41">
        <f t="shared" si="2"/>
        <v>-391293</v>
      </c>
      <c r="I23" s="41">
        <f t="shared" si="2"/>
        <v>95631</v>
      </c>
      <c r="J23" s="41">
        <f t="shared" si="2"/>
        <v>734394</v>
      </c>
      <c r="K23" s="41">
        <f t="shared" si="2"/>
        <v>5765249</v>
      </c>
      <c r="L23" s="41">
        <f t="shared" si="2"/>
        <v>98942</v>
      </c>
      <c r="M23" s="41">
        <f t="shared" si="2"/>
        <v>940910</v>
      </c>
      <c r="N23" s="41">
        <f t="shared" si="2"/>
        <v>614907</v>
      </c>
      <c r="O23" s="41">
        <f t="shared" si="2"/>
        <v>5153126</v>
      </c>
      <c r="P23" s="41">
        <f t="shared" si="2"/>
        <v>70467</v>
      </c>
      <c r="Q23" s="41">
        <f t="shared" si="2"/>
        <v>380966</v>
      </c>
      <c r="R23" s="41">
        <f t="shared" si="2"/>
        <v>2479</v>
      </c>
      <c r="S23" s="41">
        <f t="shared" si="2"/>
        <v>8474</v>
      </c>
      <c r="T23" s="41">
        <f t="shared" si="2"/>
        <v>9251</v>
      </c>
      <c r="U23" s="41">
        <f t="shared" si="2"/>
        <v>9754</v>
      </c>
      <c r="V23" s="41">
        <f t="shared" si="2"/>
        <v>62727.520000000011</v>
      </c>
      <c r="W23" s="41">
        <f t="shared" si="2"/>
        <v>227252.79999999981</v>
      </c>
      <c r="X23" s="41">
        <f t="shared" si="2"/>
        <v>361346</v>
      </c>
      <c r="Y23" s="41">
        <f t="shared" si="2"/>
        <v>1797368</v>
      </c>
      <c r="Z23" s="41">
        <f t="shared" si="2"/>
        <v>116095</v>
      </c>
      <c r="AA23" s="41">
        <f t="shared" si="2"/>
        <v>199042</v>
      </c>
      <c r="AB23" s="41">
        <f t="shared" si="2"/>
        <v>200830</v>
      </c>
      <c r="AC23" s="41">
        <f t="shared" si="2"/>
        <v>809267</v>
      </c>
      <c r="AD23" s="41">
        <f t="shared" si="2"/>
        <v>1012852</v>
      </c>
      <c r="AE23" s="41">
        <f t="shared" si="2"/>
        <v>9771132</v>
      </c>
      <c r="AF23" s="41">
        <f t="shared" si="2"/>
        <v>-311423</v>
      </c>
      <c r="AG23" s="41">
        <f t="shared" si="2"/>
        <v>2907281</v>
      </c>
      <c r="AH23" s="41">
        <f t="shared" si="2"/>
        <v>22293</v>
      </c>
      <c r="AI23" s="41">
        <f t="shared" si="2"/>
        <v>81236</v>
      </c>
      <c r="AJ23" s="41">
        <f t="shared" si="2"/>
        <v>138573</v>
      </c>
      <c r="AK23" s="41">
        <f t="shared" si="2"/>
        <v>1181077</v>
      </c>
      <c r="AL23" s="41">
        <f t="shared" si="2"/>
        <v>105689</v>
      </c>
      <c r="AM23" s="41">
        <f t="shared" si="2"/>
        <v>395265</v>
      </c>
      <c r="AN23" s="41">
        <f t="shared" si="2"/>
        <v>15678</v>
      </c>
      <c r="AO23" s="41">
        <f t="shared" si="2"/>
        <v>30632</v>
      </c>
      <c r="AP23" s="41">
        <f t="shared" si="2"/>
        <v>-3483362</v>
      </c>
      <c r="AQ23" s="41">
        <f t="shared" si="2"/>
        <v>2621470</v>
      </c>
      <c r="AR23" s="41">
        <f t="shared" si="2"/>
        <v>657680</v>
      </c>
      <c r="AS23" s="41">
        <f t="shared" si="2"/>
        <v>6067659</v>
      </c>
      <c r="AT23" s="41">
        <f t="shared" si="2"/>
        <v>993805</v>
      </c>
      <c r="AU23" s="41">
        <f t="shared" si="2"/>
        <v>3610610</v>
      </c>
      <c r="AV23" s="41">
        <f t="shared" ref="AV23:BA23" si="3">AV26-AV25-AV24-AV22-AV21-AV20-AV19-AV18-AV17-AV16-AV15-AV14-AV13-AV12-AV11-AV10-AV9-AV8-AV7-AV6-AV5</f>
        <v>7363</v>
      </c>
      <c r="AW23" s="41">
        <f t="shared" si="3"/>
        <v>17876</v>
      </c>
      <c r="AX23" s="41">
        <f t="shared" si="3"/>
        <v>-44564</v>
      </c>
      <c r="AY23" s="41">
        <f t="shared" si="3"/>
        <v>736503</v>
      </c>
      <c r="AZ23" s="41">
        <f t="shared" si="3"/>
        <v>32797</v>
      </c>
      <c r="BA23" s="41">
        <f t="shared" si="3"/>
        <v>111781</v>
      </c>
      <c r="BB23" s="41">
        <f t="shared" ref="BB23:BM23" si="4">BB26-BB25-BB24-BB22-BB21-BB20-BB19-BB18-BB17-BB16-BB15-BB14-BB13-BB12-BB11-BB10-BB9-BB8-BB7-BB6-BB5</f>
        <v>531720</v>
      </c>
      <c r="BC23" s="41">
        <f t="shared" si="4"/>
        <v>3096679</v>
      </c>
      <c r="BD23" s="41">
        <f t="shared" si="4"/>
        <v>-525228</v>
      </c>
      <c r="BE23" s="41">
        <f t="shared" si="4"/>
        <v>-54271</v>
      </c>
      <c r="BF23" s="41">
        <f t="shared" si="4"/>
        <v>168345</v>
      </c>
      <c r="BG23" s="41">
        <f t="shared" si="4"/>
        <v>699686</v>
      </c>
      <c r="BH23" s="41">
        <f t="shared" si="4"/>
        <v>-117560</v>
      </c>
      <c r="BI23" s="41">
        <f t="shared" si="4"/>
        <v>-529347</v>
      </c>
      <c r="BJ23" s="41">
        <f t="shared" si="4"/>
        <v>377975</v>
      </c>
      <c r="BK23" s="41">
        <f t="shared" si="4"/>
        <v>770374</v>
      </c>
      <c r="BL23" s="41">
        <f t="shared" si="4"/>
        <v>1503136</v>
      </c>
      <c r="BM23" s="41">
        <f t="shared" si="4"/>
        <v>4811650</v>
      </c>
      <c r="BN23" s="41"/>
      <c r="BO23" s="41"/>
      <c r="BP23" s="41">
        <f t="shared" ref="BP23:BQ26" si="5">B23+D23+F23+H23+J23+L23+N23+P23+R23+T23+V23+X23+Z23+AB23+AD23+AF23+AH23+AJ23+AL23+AN23+AP23+AQ23+AT23+AV23+AX23+AZ23+BB23+BD23+BF23+BH23+BJ23+BL23+BN23</f>
        <v>5136606.5580000002</v>
      </c>
      <c r="BQ23" s="41">
        <f t="shared" si="5"/>
        <v>47165175.585999995</v>
      </c>
    </row>
    <row r="24" spans="1:69" x14ac:dyDescent="0.25">
      <c r="A24" s="65" t="s">
        <v>188</v>
      </c>
      <c r="B24" s="41">
        <v>1132.19</v>
      </c>
      <c r="C24" s="41">
        <v>1830.184</v>
      </c>
      <c r="D24" s="41">
        <v>39027</v>
      </c>
      <c r="E24" s="41">
        <v>113308</v>
      </c>
      <c r="F24" s="41">
        <v>38565</v>
      </c>
      <c r="G24" s="41">
        <v>120207</v>
      </c>
      <c r="H24" s="41">
        <v>31467</v>
      </c>
      <c r="I24" s="41">
        <v>121069</v>
      </c>
      <c r="J24" s="141">
        <v>116002</v>
      </c>
      <c r="K24" s="141">
        <v>328441</v>
      </c>
      <c r="L24" s="41">
        <v>19820</v>
      </c>
      <c r="M24" s="41">
        <v>71597</v>
      </c>
      <c r="N24" s="41">
        <v>57181</v>
      </c>
      <c r="O24" s="41">
        <v>195180</v>
      </c>
      <c r="P24" s="41">
        <v>5716</v>
      </c>
      <c r="Q24" s="41">
        <v>9598</v>
      </c>
      <c r="R24" s="41">
        <v>54410</v>
      </c>
      <c r="S24" s="41">
        <v>64018</v>
      </c>
      <c r="T24" s="41">
        <v>3065</v>
      </c>
      <c r="U24" s="41">
        <v>3224</v>
      </c>
      <c r="V24" s="41">
        <v>8591.85</v>
      </c>
      <c r="W24" s="41">
        <v>31810.94</v>
      </c>
      <c r="X24" s="41">
        <v>25936</v>
      </c>
      <c r="Y24" s="41">
        <v>91986</v>
      </c>
      <c r="Z24" s="41">
        <v>5251</v>
      </c>
      <c r="AA24" s="41">
        <v>7578</v>
      </c>
      <c r="AB24" s="41">
        <v>78914</v>
      </c>
      <c r="AC24" s="41">
        <v>306685</v>
      </c>
      <c r="AD24" s="41">
        <v>121413</v>
      </c>
      <c r="AE24" s="41">
        <v>509352</v>
      </c>
      <c r="AF24" s="41">
        <v>39749</v>
      </c>
      <c r="AG24" s="41">
        <v>61678</v>
      </c>
      <c r="AH24" s="41">
        <v>22055</v>
      </c>
      <c r="AI24" s="41">
        <v>81492</v>
      </c>
      <c r="AJ24" s="41">
        <v>40220</v>
      </c>
      <c r="AK24" s="41">
        <v>147011</v>
      </c>
      <c r="AL24" s="41">
        <v>9043</v>
      </c>
      <c r="AM24" s="41">
        <v>32706</v>
      </c>
      <c r="AN24" s="41">
        <v>41370</v>
      </c>
      <c r="AO24" s="41">
        <v>158762</v>
      </c>
      <c r="AP24" s="41">
        <v>168912</v>
      </c>
      <c r="AQ24" s="41">
        <v>959507</v>
      </c>
      <c r="AR24" s="41">
        <v>240509</v>
      </c>
      <c r="AS24" s="41">
        <v>721938</v>
      </c>
      <c r="AT24" s="41">
        <v>255231</v>
      </c>
      <c r="AU24" s="41">
        <v>459031</v>
      </c>
      <c r="AV24" s="41">
        <v>2061</v>
      </c>
      <c r="AW24" s="41">
        <v>5416</v>
      </c>
      <c r="AX24" s="41">
        <v>46023</v>
      </c>
      <c r="AY24" s="41">
        <v>174037</v>
      </c>
      <c r="AZ24" s="41">
        <v>41512</v>
      </c>
      <c r="BA24" s="41">
        <v>150659</v>
      </c>
      <c r="BB24" s="41">
        <v>28110</v>
      </c>
      <c r="BC24" s="41">
        <v>116119</v>
      </c>
      <c r="BD24" s="41">
        <v>52221</v>
      </c>
      <c r="BE24" s="41">
        <v>235145</v>
      </c>
      <c r="BF24" s="41">
        <v>11152</v>
      </c>
      <c r="BG24" s="41">
        <v>45702</v>
      </c>
      <c r="BH24" s="41">
        <v>66258</v>
      </c>
      <c r="BI24" s="41">
        <v>230819</v>
      </c>
      <c r="BJ24" s="41">
        <v>64249</v>
      </c>
      <c r="BK24" s="41">
        <v>227360</v>
      </c>
      <c r="BL24" s="92">
        <v>151530</v>
      </c>
      <c r="BM24" s="92">
        <v>500242</v>
      </c>
      <c r="BN24" s="41">
        <v>32885</v>
      </c>
      <c r="BO24" s="41">
        <v>92295</v>
      </c>
      <c r="BP24" s="41">
        <f t="shared" si="5"/>
        <v>2638579.04</v>
      </c>
      <c r="BQ24" s="41">
        <f t="shared" si="5"/>
        <v>5894374.1239999998</v>
      </c>
    </row>
    <row r="25" spans="1:69" x14ac:dyDescent="0.25">
      <c r="A25" s="65" t="s">
        <v>189</v>
      </c>
      <c r="B25" s="41"/>
      <c r="C25" s="41"/>
      <c r="D25" s="41"/>
      <c r="E25" s="41"/>
      <c r="F25" s="41"/>
      <c r="G25" s="41"/>
      <c r="H25" s="41">
        <v>2419</v>
      </c>
      <c r="I25" s="41">
        <v>101</v>
      </c>
      <c r="J25" s="141">
        <v>33333</v>
      </c>
      <c r="K25" s="141">
        <v>219304</v>
      </c>
      <c r="L25" s="41">
        <v>-1116881</v>
      </c>
      <c r="M25" s="41">
        <v>-1116881</v>
      </c>
      <c r="N25" s="41">
        <v>11250</v>
      </c>
      <c r="O25" s="41">
        <v>71150</v>
      </c>
      <c r="P25" s="41"/>
      <c r="Q25" s="41"/>
      <c r="R25" s="41">
        <v>300</v>
      </c>
      <c r="S25" s="41">
        <v>410</v>
      </c>
      <c r="T25" s="41">
        <v>127</v>
      </c>
      <c r="U25" s="41">
        <v>1597</v>
      </c>
      <c r="V25" s="41"/>
      <c r="W25" s="41"/>
      <c r="X25" s="41">
        <v>1795</v>
      </c>
      <c r="Y25" s="41">
        <v>36728</v>
      </c>
      <c r="Z25" s="41">
        <v>235</v>
      </c>
      <c r="AA25" s="41">
        <v>1240</v>
      </c>
      <c r="AB25" s="41"/>
      <c r="AC25" s="41"/>
      <c r="AD25" s="41"/>
      <c r="AE25" s="41"/>
      <c r="AF25" s="41">
        <v>11234</v>
      </c>
      <c r="AG25" s="41">
        <v>-9000</v>
      </c>
      <c r="AH25" s="41"/>
      <c r="AI25" s="41"/>
      <c r="AJ25" s="41"/>
      <c r="AK25" s="41"/>
      <c r="AL25" s="41"/>
      <c r="AM25" s="41"/>
      <c r="AN25" s="41">
        <v>4</v>
      </c>
      <c r="AO25" s="41">
        <v>4954</v>
      </c>
      <c r="AP25" s="41">
        <v>67652</v>
      </c>
      <c r="AQ25" s="41">
        <v>466427</v>
      </c>
      <c r="AR25" s="41">
        <v>57692</v>
      </c>
      <c r="AS25" s="41">
        <v>328842</v>
      </c>
      <c r="AT25" s="41">
        <v>238445</v>
      </c>
      <c r="AU25" s="41">
        <v>491805</v>
      </c>
      <c r="AV25" s="41">
        <v>578</v>
      </c>
      <c r="AW25" s="41">
        <v>1324</v>
      </c>
      <c r="AX25" s="41">
        <v>24042</v>
      </c>
      <c r="AY25" s="41">
        <v>187115</v>
      </c>
      <c r="AZ25" s="41">
        <v>1532</v>
      </c>
      <c r="BA25" s="41">
        <v>1598</v>
      </c>
      <c r="BB25" s="41">
        <v>1837</v>
      </c>
      <c r="BC25" s="41">
        <v>2345</v>
      </c>
      <c r="BD25" s="41">
        <v>53157</v>
      </c>
      <c r="BE25" s="41">
        <v>199282</v>
      </c>
      <c r="BF25" s="41">
        <v>22162</v>
      </c>
      <c r="BG25" s="41">
        <v>37306</v>
      </c>
      <c r="BH25" s="41"/>
      <c r="BI25" s="41"/>
      <c r="BJ25" s="41">
        <v>9828</v>
      </c>
      <c r="BK25" s="41">
        <v>54642</v>
      </c>
      <c r="BL25" s="92">
        <v>-78</v>
      </c>
      <c r="BM25" s="92"/>
      <c r="BN25" s="41"/>
      <c r="BO25" s="41"/>
      <c r="BP25" s="41">
        <f t="shared" si="5"/>
        <v>-170602</v>
      </c>
      <c r="BQ25" s="41">
        <f t="shared" si="5"/>
        <v>709139</v>
      </c>
    </row>
    <row r="26" spans="1:69" s="12" customFormat="1" x14ac:dyDescent="0.25">
      <c r="A26" s="20" t="s">
        <v>60</v>
      </c>
      <c r="B26" s="21">
        <v>76945.195999999996</v>
      </c>
      <c r="C26" s="21">
        <v>139522.231</v>
      </c>
      <c r="D26" s="21">
        <v>637651</v>
      </c>
      <c r="E26" s="21">
        <v>2069364</v>
      </c>
      <c r="F26" s="21">
        <v>438790</v>
      </c>
      <c r="G26" s="21">
        <v>1634097</v>
      </c>
      <c r="H26" s="21">
        <v>1114110</v>
      </c>
      <c r="I26" s="21">
        <v>3714679</v>
      </c>
      <c r="J26" s="21">
        <v>3127277</v>
      </c>
      <c r="K26" s="21">
        <v>14051321</v>
      </c>
      <c r="L26" s="21">
        <v>-260950</v>
      </c>
      <c r="M26" s="21">
        <v>3633401</v>
      </c>
      <c r="N26" s="21">
        <v>1792096</v>
      </c>
      <c r="O26" s="21">
        <v>8591622</v>
      </c>
      <c r="P26" s="21">
        <v>623707</v>
      </c>
      <c r="Q26" s="21">
        <v>2282533</v>
      </c>
      <c r="R26" s="21">
        <v>362207</v>
      </c>
      <c r="S26" s="21">
        <v>645008</v>
      </c>
      <c r="T26" s="21">
        <v>130460</v>
      </c>
      <c r="U26" s="21">
        <v>188311</v>
      </c>
      <c r="V26" s="21">
        <v>375854.91</v>
      </c>
      <c r="W26" s="21">
        <v>1927845.71</v>
      </c>
      <c r="X26" s="21">
        <v>1089352</v>
      </c>
      <c r="Y26" s="21">
        <v>4646680</v>
      </c>
      <c r="Z26" s="21">
        <v>458064</v>
      </c>
      <c r="AA26" s="21">
        <v>824952</v>
      </c>
      <c r="AB26" s="41">
        <v>2149433</v>
      </c>
      <c r="AC26" s="41">
        <v>10544703</v>
      </c>
      <c r="AD26" s="21">
        <v>4142906</v>
      </c>
      <c r="AE26" s="21">
        <v>21118673</v>
      </c>
      <c r="AF26" s="21">
        <v>1095273</v>
      </c>
      <c r="AG26" s="21">
        <v>7137168</v>
      </c>
      <c r="AH26" s="21">
        <v>194657</v>
      </c>
      <c r="AI26" s="21">
        <v>688296</v>
      </c>
      <c r="AJ26" s="21">
        <v>743074</v>
      </c>
      <c r="AK26" s="21">
        <v>3395277</v>
      </c>
      <c r="AL26" s="21">
        <v>370693</v>
      </c>
      <c r="AM26" s="21">
        <v>1517783</v>
      </c>
      <c r="AN26" s="21">
        <v>911096</v>
      </c>
      <c r="AO26" s="21">
        <v>2917122</v>
      </c>
      <c r="AP26" s="41">
        <v>5041473</v>
      </c>
      <c r="AQ26" s="41">
        <v>29125451</v>
      </c>
      <c r="AR26" s="21">
        <v>9565542</v>
      </c>
      <c r="AS26" s="21">
        <v>35284290</v>
      </c>
      <c r="AT26" s="21">
        <v>6882279</v>
      </c>
      <c r="AU26" s="21">
        <v>26929901</v>
      </c>
      <c r="AV26" s="21">
        <v>94867</v>
      </c>
      <c r="AW26" s="21">
        <v>260003</v>
      </c>
      <c r="AX26" s="21">
        <v>1684017</v>
      </c>
      <c r="AY26" s="21">
        <v>8893936</v>
      </c>
      <c r="AZ26" s="21">
        <v>1311611</v>
      </c>
      <c r="BA26" s="21">
        <v>4400816</v>
      </c>
      <c r="BB26" s="21">
        <v>1116412</v>
      </c>
      <c r="BC26" s="21">
        <v>5277160</v>
      </c>
      <c r="BD26" s="21">
        <v>733378</v>
      </c>
      <c r="BE26" s="21">
        <v>5718476</v>
      </c>
      <c r="BF26" s="21">
        <v>536330</v>
      </c>
      <c r="BG26" s="21">
        <v>2287414</v>
      </c>
      <c r="BH26" s="21">
        <v>3195785</v>
      </c>
      <c r="BI26" s="21">
        <v>8613454</v>
      </c>
      <c r="BJ26" s="21">
        <v>2689882</v>
      </c>
      <c r="BK26" s="21">
        <v>10884487</v>
      </c>
      <c r="BL26" s="21">
        <v>4023218</v>
      </c>
      <c r="BM26" s="21">
        <v>25978043</v>
      </c>
      <c r="BN26" s="21">
        <v>965955</v>
      </c>
      <c r="BO26" s="21">
        <v>2872152</v>
      </c>
      <c r="BP26" s="21">
        <f t="shared" si="5"/>
        <v>76973354.106000006</v>
      </c>
      <c r="BQ26" s="21">
        <f t="shared" si="5"/>
        <v>232475192.94099998</v>
      </c>
    </row>
  </sheetData>
  <mergeCells count="34">
    <mergeCell ref="BH3:BI3"/>
    <mergeCell ref="BJ3:BK3"/>
    <mergeCell ref="BL3:BM3"/>
    <mergeCell ref="BN3:BO3"/>
    <mergeCell ref="BP3:BQ3"/>
    <mergeCell ref="BF3:BG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53.5703125" style="7" customWidth="1"/>
    <col min="2" max="35" width="16" style="7" customWidth="1"/>
    <col min="36" max="16384" width="9.140625" style="7"/>
  </cols>
  <sheetData>
    <row r="1" spans="1:35" ht="18.75" x14ac:dyDescent="0.3">
      <c r="A1" s="38" t="s">
        <v>159</v>
      </c>
    </row>
    <row r="2" spans="1:35" x14ac:dyDescent="0.25">
      <c r="A2" s="7" t="s">
        <v>42</v>
      </c>
    </row>
    <row r="3" spans="1:35" s="19" customFormat="1" x14ac:dyDescent="0.25">
      <c r="A3" s="23" t="s">
        <v>0</v>
      </c>
      <c r="B3" s="130" t="s">
        <v>1</v>
      </c>
      <c r="C3" s="130" t="s">
        <v>2</v>
      </c>
      <c r="D3" s="130" t="s">
        <v>3</v>
      </c>
      <c r="E3" s="130" t="s">
        <v>4</v>
      </c>
      <c r="F3" s="130" t="s">
        <v>5</v>
      </c>
      <c r="G3" s="130" t="s">
        <v>6</v>
      </c>
      <c r="H3" s="130" t="s">
        <v>7</v>
      </c>
      <c r="I3" s="130" t="s">
        <v>8</v>
      </c>
      <c r="J3" s="130" t="s">
        <v>9</v>
      </c>
      <c r="K3" s="130" t="s">
        <v>10</v>
      </c>
      <c r="L3" s="130" t="s">
        <v>11</v>
      </c>
      <c r="M3" s="130" t="s">
        <v>12</v>
      </c>
      <c r="N3" s="130" t="s">
        <v>13</v>
      </c>
      <c r="O3" s="130" t="s">
        <v>14</v>
      </c>
      <c r="P3" s="130" t="s">
        <v>15</v>
      </c>
      <c r="Q3" s="130" t="s">
        <v>16</v>
      </c>
      <c r="R3" s="130" t="s">
        <v>17</v>
      </c>
      <c r="S3" s="130" t="s">
        <v>18</v>
      </c>
      <c r="T3" s="130" t="s">
        <v>19</v>
      </c>
      <c r="U3" s="130" t="s">
        <v>20</v>
      </c>
      <c r="V3" s="130" t="s">
        <v>21</v>
      </c>
      <c r="W3" s="130" t="s">
        <v>109</v>
      </c>
      <c r="X3" s="130" t="s">
        <v>110</v>
      </c>
      <c r="Y3" s="130" t="s">
        <v>22</v>
      </c>
      <c r="Z3" s="130" t="s">
        <v>23</v>
      </c>
      <c r="AA3" s="130" t="s">
        <v>24</v>
      </c>
      <c r="AB3" s="130" t="s">
        <v>25</v>
      </c>
      <c r="AC3" s="130" t="s">
        <v>26</v>
      </c>
      <c r="AD3" s="130" t="s">
        <v>27</v>
      </c>
      <c r="AE3" s="130" t="s">
        <v>28</v>
      </c>
      <c r="AF3" s="130" t="s">
        <v>29</v>
      </c>
      <c r="AG3" s="130" t="s">
        <v>30</v>
      </c>
      <c r="AH3" s="130" t="s">
        <v>31</v>
      </c>
      <c r="AI3" s="130" t="s">
        <v>150</v>
      </c>
    </row>
    <row r="4" spans="1:35" x14ac:dyDescent="0.25">
      <c r="A4" s="41" t="s">
        <v>71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56"/>
      <c r="P4" s="41"/>
      <c r="Q4" s="41"/>
      <c r="R4" s="41"/>
      <c r="S4" s="41"/>
      <c r="T4" s="41"/>
      <c r="U4" s="41"/>
      <c r="V4" s="41"/>
      <c r="W4" s="41"/>
      <c r="X4" s="41">
        <v>2565</v>
      </c>
      <c r="Y4" s="41"/>
      <c r="Z4" s="41"/>
      <c r="AA4" s="41"/>
      <c r="AB4" s="41"/>
      <c r="AC4" s="41"/>
      <c r="AD4" s="41"/>
      <c r="AE4" s="41"/>
      <c r="AF4" s="41"/>
      <c r="AG4" s="41">
        <v>13589</v>
      </c>
      <c r="AH4" s="41"/>
      <c r="AI4" s="41">
        <f>SUM(B4:AH4)</f>
        <v>16154</v>
      </c>
    </row>
    <row r="5" spans="1:35" x14ac:dyDescent="0.25">
      <c r="A5" s="41" t="s">
        <v>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>
        <f t="shared" ref="AI5:AI16" si="0">SUM(B5:AH5)</f>
        <v>0</v>
      </c>
    </row>
    <row r="6" spans="1:35" x14ac:dyDescent="0.25">
      <c r="A6" s="41" t="s">
        <v>148</v>
      </c>
      <c r="B6" s="41"/>
      <c r="C6" s="41">
        <v>2476198</v>
      </c>
      <c r="D6" s="41"/>
      <c r="E6" s="41">
        <f>2587793+5814</f>
        <v>2593607</v>
      </c>
      <c r="F6" s="41">
        <v>1666197</v>
      </c>
      <c r="G6" s="41">
        <v>1720185</v>
      </c>
      <c r="H6" s="41">
        <v>1432645</v>
      </c>
      <c r="I6" s="41">
        <v>3225813</v>
      </c>
      <c r="J6" s="41"/>
      <c r="K6" s="41"/>
      <c r="L6" s="41"/>
      <c r="M6" s="41"/>
      <c r="N6" s="41"/>
      <c r="O6" s="41">
        <v>8381626</v>
      </c>
      <c r="P6" s="41">
        <v>15666881</v>
      </c>
      <c r="Q6" s="41">
        <v>2568789</v>
      </c>
      <c r="R6" s="41"/>
      <c r="S6" s="41">
        <v>997497</v>
      </c>
      <c r="T6" s="41">
        <v>1455000</v>
      </c>
      <c r="U6" s="41"/>
      <c r="V6" s="41"/>
      <c r="W6" s="41">
        <v>18962416</v>
      </c>
      <c r="X6" s="41"/>
      <c r="Y6" s="41"/>
      <c r="Z6" s="41">
        <v>7667050</v>
      </c>
      <c r="AA6" s="41"/>
      <c r="AB6" s="41">
        <v>2550000</v>
      </c>
      <c r="AC6" s="41">
        <v>13326000</v>
      </c>
      <c r="AD6" s="41">
        <v>714</v>
      </c>
      <c r="AE6" s="41">
        <v>5745592</v>
      </c>
      <c r="AF6" s="41">
        <v>1825000</v>
      </c>
      <c r="AG6" s="41"/>
      <c r="AH6" s="41">
        <v>1676182</v>
      </c>
      <c r="AI6" s="41">
        <f t="shared" si="0"/>
        <v>93937392</v>
      </c>
    </row>
    <row r="7" spans="1:35" x14ac:dyDescent="0.25">
      <c r="A7" s="41" t="s">
        <v>73</v>
      </c>
      <c r="B7" s="41"/>
      <c r="C7" s="41"/>
      <c r="D7" s="41">
        <v>33629302</v>
      </c>
      <c r="E7" s="41"/>
      <c r="F7" s="41"/>
      <c r="G7" s="41"/>
      <c r="H7" s="41">
        <v>4347567</v>
      </c>
      <c r="I7" s="41"/>
      <c r="J7" s="41"/>
      <c r="K7" s="41"/>
      <c r="L7" s="41">
        <v>21771120.469999999</v>
      </c>
      <c r="M7" s="41"/>
      <c r="N7" s="41"/>
      <c r="O7" s="41"/>
      <c r="P7" s="41">
        <v>333642</v>
      </c>
      <c r="Q7" s="41"/>
      <c r="R7" s="41"/>
      <c r="S7" s="41"/>
      <c r="T7" s="41"/>
      <c r="U7" s="41"/>
      <c r="V7" s="150">
        <v>16606244</v>
      </c>
      <c r="W7" s="149">
        <v>122249037</v>
      </c>
      <c r="X7" s="41">
        <v>14465404</v>
      </c>
      <c r="Y7" s="41"/>
      <c r="Z7" s="41"/>
      <c r="AA7" s="41"/>
      <c r="AB7" s="41"/>
      <c r="AC7" s="41"/>
      <c r="AD7" s="41"/>
      <c r="AE7" s="41"/>
      <c r="AF7" s="41">
        <v>151237</v>
      </c>
      <c r="AG7" s="41">
        <v>46316507</v>
      </c>
      <c r="AH7" s="41"/>
      <c r="AI7" s="41">
        <f t="shared" si="0"/>
        <v>259870060.47</v>
      </c>
    </row>
    <row r="8" spans="1:35" ht="30" x14ac:dyDescent="0.25">
      <c r="A8" s="65" t="s">
        <v>144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150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>
        <f t="shared" si="0"/>
        <v>0</v>
      </c>
    </row>
    <row r="9" spans="1:35" x14ac:dyDescent="0.25">
      <c r="A9" s="41" t="s">
        <v>133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>
        <f t="shared" si="0"/>
        <v>0</v>
      </c>
    </row>
    <row r="10" spans="1:35" x14ac:dyDescent="0.25">
      <c r="A10" s="41" t="s">
        <v>145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>
        <f t="shared" si="0"/>
        <v>0</v>
      </c>
    </row>
    <row r="11" spans="1:35" x14ac:dyDescent="0.25">
      <c r="A11" s="41" t="s">
        <v>146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>
        <f t="shared" si="0"/>
        <v>0</v>
      </c>
    </row>
    <row r="12" spans="1:35" x14ac:dyDescent="0.25">
      <c r="A12" s="41" t="s">
        <v>74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>
        <v>1166</v>
      </c>
      <c r="R12" s="41"/>
      <c r="S12" s="41"/>
      <c r="T12" s="41"/>
      <c r="U12" s="41"/>
      <c r="V12" s="41">
        <v>16564</v>
      </c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>
        <f t="shared" si="0"/>
        <v>17730</v>
      </c>
    </row>
    <row r="13" spans="1:35" x14ac:dyDescent="0.25">
      <c r="A13" s="41" t="s">
        <v>152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-21153</v>
      </c>
      <c r="W13" s="149"/>
      <c r="X13" s="41"/>
      <c r="Y13" s="41"/>
      <c r="Z13" s="41"/>
      <c r="AA13" s="41"/>
      <c r="AB13" s="41"/>
      <c r="AC13" s="41"/>
      <c r="AD13" s="41"/>
      <c r="AE13" s="41"/>
      <c r="AF13" s="41"/>
      <c r="AG13" s="41">
        <v>134690</v>
      </c>
      <c r="AH13" s="41"/>
      <c r="AI13" s="41">
        <f t="shared" si="0"/>
        <v>113537</v>
      </c>
    </row>
    <row r="14" spans="1:35" x14ac:dyDescent="0.25">
      <c r="A14" s="41" t="s">
        <v>134</v>
      </c>
      <c r="B14" s="41"/>
      <c r="C14" s="41"/>
      <c r="D14" s="41"/>
      <c r="E14" s="41">
        <v>10685</v>
      </c>
      <c r="F14" s="41"/>
      <c r="G14" s="41"/>
      <c r="H14" s="41">
        <v>100000</v>
      </c>
      <c r="I14" s="41"/>
      <c r="J14" s="41"/>
      <c r="K14" s="41"/>
      <c r="L14" s="41">
        <v>600000</v>
      </c>
      <c r="M14" s="41"/>
      <c r="N14" s="41"/>
      <c r="O14" s="41">
        <v>194400</v>
      </c>
      <c r="P14" s="41">
        <v>103929</v>
      </c>
      <c r="Q14" s="41"/>
      <c r="R14" s="41"/>
      <c r="S14" s="41"/>
      <c r="T14" s="41"/>
      <c r="U14" s="41"/>
      <c r="V14" s="41">
        <v>1014427</v>
      </c>
      <c r="W14" s="149">
        <v>11560172</v>
      </c>
      <c r="X14" s="41"/>
      <c r="Y14" s="41"/>
      <c r="Z14" s="41">
        <v>127778</v>
      </c>
      <c r="AA14" s="41"/>
      <c r="AB14" s="41"/>
      <c r="AC14" s="41"/>
      <c r="AD14" s="41"/>
      <c r="AE14" s="41"/>
      <c r="AF14" s="41">
        <v>445000</v>
      </c>
      <c r="AG14" s="41">
        <f>8628+225000</f>
        <v>233628</v>
      </c>
      <c r="AH14" s="41"/>
      <c r="AI14" s="41">
        <f t="shared" si="0"/>
        <v>14390019</v>
      </c>
    </row>
    <row r="15" spans="1:35" x14ac:dyDescent="0.25">
      <c r="A15" s="41" t="s">
        <v>75</v>
      </c>
      <c r="B15" s="41"/>
      <c r="C15" s="41"/>
      <c r="D15" s="41"/>
      <c r="E15" s="41"/>
      <c r="F15" s="41">
        <v>41619413</v>
      </c>
      <c r="G15" s="41"/>
      <c r="H15" s="41">
        <v>4093030</v>
      </c>
      <c r="I15" s="41"/>
      <c r="J15" s="41"/>
      <c r="K15" s="41"/>
      <c r="L15" s="41"/>
      <c r="M15" s="41"/>
      <c r="N15" s="41"/>
      <c r="O15" s="41">
        <v>2984374</v>
      </c>
      <c r="P15" s="41">
        <v>24767694</v>
      </c>
      <c r="Q15" s="41">
        <v>13486185</v>
      </c>
      <c r="R15" s="41"/>
      <c r="S15" s="41"/>
      <c r="T15" s="41"/>
      <c r="U15" s="41"/>
      <c r="V15" s="41"/>
      <c r="W15" s="41"/>
      <c r="X15" s="41">
        <v>15098917</v>
      </c>
      <c r="Y15" s="41">
        <v>239527</v>
      </c>
      <c r="Z15" s="41">
        <v>3740821</v>
      </c>
      <c r="AA15" s="41"/>
      <c r="AB15" s="41">
        <v>3205261</v>
      </c>
      <c r="AC15" s="41"/>
      <c r="AD15" s="41">
        <v>11580453</v>
      </c>
      <c r="AE15" s="41"/>
      <c r="AF15" s="41">
        <v>5652833</v>
      </c>
      <c r="AG15" s="41"/>
      <c r="AH15" s="41">
        <v>2143109</v>
      </c>
      <c r="AI15" s="41">
        <f t="shared" si="0"/>
        <v>128611617</v>
      </c>
    </row>
    <row r="16" spans="1:35" s="12" customFormat="1" x14ac:dyDescent="0.25">
      <c r="A16" s="21" t="s">
        <v>60</v>
      </c>
      <c r="B16" s="21">
        <f t="shared" ref="B16:G16" si="1">SUM(B4:B15)</f>
        <v>0</v>
      </c>
      <c r="C16" s="21">
        <f t="shared" si="1"/>
        <v>2476198</v>
      </c>
      <c r="D16" s="21">
        <f t="shared" si="1"/>
        <v>33629302</v>
      </c>
      <c r="E16" s="21">
        <f t="shared" si="1"/>
        <v>2604292</v>
      </c>
      <c r="F16" s="21">
        <f t="shared" si="1"/>
        <v>43285610</v>
      </c>
      <c r="G16" s="21">
        <f t="shared" si="1"/>
        <v>1720185</v>
      </c>
      <c r="H16" s="21">
        <f t="shared" ref="H16:N16" si="2">SUM(H4:H15)</f>
        <v>9973242</v>
      </c>
      <c r="I16" s="21">
        <f t="shared" si="2"/>
        <v>3225813</v>
      </c>
      <c r="J16" s="21">
        <f t="shared" si="2"/>
        <v>0</v>
      </c>
      <c r="K16" s="21">
        <f t="shared" si="2"/>
        <v>0</v>
      </c>
      <c r="L16" s="21">
        <f t="shared" si="2"/>
        <v>22371120.469999999</v>
      </c>
      <c r="M16" s="21">
        <f t="shared" si="2"/>
        <v>0</v>
      </c>
      <c r="N16" s="21">
        <f t="shared" si="2"/>
        <v>0</v>
      </c>
      <c r="O16" s="21">
        <f>SUM(O4:O15)</f>
        <v>11560400</v>
      </c>
      <c r="P16" s="21">
        <f>SUM(P4:P15)</f>
        <v>40872146</v>
      </c>
      <c r="Q16" s="21">
        <f t="shared" ref="Q16" si="3">SUM(Q4:Q15)</f>
        <v>16056140</v>
      </c>
      <c r="R16" s="21">
        <f t="shared" ref="R16" si="4">SUM(R4:R15)</f>
        <v>0</v>
      </c>
      <c r="S16" s="21">
        <f t="shared" ref="S16" si="5">SUM(S4:S15)</f>
        <v>997497</v>
      </c>
      <c r="T16" s="21">
        <f t="shared" ref="T16" si="6">SUM(T4:T15)</f>
        <v>1455000</v>
      </c>
      <c r="U16" s="21">
        <f>SUM(U4:U15)</f>
        <v>0</v>
      </c>
      <c r="V16" s="21">
        <f>SUM(V4:V15)</f>
        <v>17616082</v>
      </c>
      <c r="W16" s="21">
        <f t="shared" ref="W16" si="7">SUM(W4:W15)</f>
        <v>152771625</v>
      </c>
      <c r="X16" s="21">
        <f t="shared" ref="X16" si="8">SUM(X4:X15)</f>
        <v>29566886</v>
      </c>
      <c r="Y16" s="21">
        <f t="shared" ref="Y16" si="9">SUM(Y4:Y15)</f>
        <v>239527</v>
      </c>
      <c r="Z16" s="21">
        <f>SUM(Z4:Z15)</f>
        <v>11535649</v>
      </c>
      <c r="AA16" s="21">
        <f t="shared" ref="AA16" si="10">SUM(AA4:AA15)</f>
        <v>0</v>
      </c>
      <c r="AB16" s="21">
        <f>SUM(AB4:AB15)</f>
        <v>5755261</v>
      </c>
      <c r="AC16" s="21">
        <f>SUM(AC4:AC15)</f>
        <v>13326000</v>
      </c>
      <c r="AD16" s="21">
        <f t="shared" ref="AD16" si="11">SUM(AD4:AD15)</f>
        <v>11581167</v>
      </c>
      <c r="AE16" s="21">
        <f t="shared" ref="AE16" si="12">SUM(AE4:AE15)</f>
        <v>5745592</v>
      </c>
      <c r="AF16" s="21">
        <f t="shared" ref="AF16" si="13">SUM(AF4:AF15)</f>
        <v>8074070</v>
      </c>
      <c r="AG16" s="21">
        <f>SUM(AG4:AG15)</f>
        <v>46698414</v>
      </c>
      <c r="AH16" s="21">
        <f t="shared" ref="AH16" si="14">SUM(AH4:AH15)</f>
        <v>3819291</v>
      </c>
      <c r="AI16" s="21">
        <f t="shared" si="0"/>
        <v>496956509.47000003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9"/>
  <sheetViews>
    <sheetView workbookViewId="0">
      <pane xSplit="1" ySplit="5" topLeftCell="BK9" activePane="bottomRight" state="frozen"/>
      <selection pane="topRight" activeCell="B1" sqref="B1"/>
      <selection pane="bottomLeft" activeCell="A6" sqref="A6"/>
      <selection pane="bottomRight" activeCell="BR33" sqref="BR33"/>
    </sheetView>
  </sheetViews>
  <sheetFormatPr defaultRowHeight="15" x14ac:dyDescent="0.25"/>
  <cols>
    <col min="1" max="1" width="45" style="4" customWidth="1"/>
    <col min="2" max="100" width="12.7109375" style="4" customWidth="1"/>
    <col min="101" max="16384" width="9.140625" style="4"/>
  </cols>
  <sheetData>
    <row r="1" spans="1:100" ht="18.75" x14ac:dyDescent="0.3">
      <c r="A1" s="24" t="s">
        <v>322</v>
      </c>
    </row>
    <row r="2" spans="1:100" x14ac:dyDescent="0.25">
      <c r="A2" s="6" t="s">
        <v>42</v>
      </c>
    </row>
    <row r="3" spans="1:100" x14ac:dyDescent="0.25">
      <c r="A3" s="166" t="s">
        <v>0</v>
      </c>
      <c r="B3" s="160" t="s">
        <v>1</v>
      </c>
      <c r="C3" s="160"/>
      <c r="D3" s="160"/>
      <c r="E3" s="160" t="s">
        <v>2</v>
      </c>
      <c r="F3" s="160"/>
      <c r="G3" s="160"/>
      <c r="H3" s="160" t="s">
        <v>3</v>
      </c>
      <c r="I3" s="160"/>
      <c r="J3" s="160"/>
      <c r="K3" s="160" t="s">
        <v>4</v>
      </c>
      <c r="L3" s="160"/>
      <c r="M3" s="160"/>
      <c r="N3" s="160" t="s">
        <v>5</v>
      </c>
      <c r="O3" s="160"/>
      <c r="P3" s="160"/>
      <c r="Q3" s="160" t="s">
        <v>6</v>
      </c>
      <c r="R3" s="160"/>
      <c r="S3" s="160"/>
      <c r="T3" s="160" t="s">
        <v>7</v>
      </c>
      <c r="U3" s="160"/>
      <c r="V3" s="160"/>
      <c r="W3" s="160" t="s">
        <v>8</v>
      </c>
      <c r="X3" s="160"/>
      <c r="Y3" s="160"/>
      <c r="Z3" s="160" t="s">
        <v>9</v>
      </c>
      <c r="AA3" s="160"/>
      <c r="AB3" s="160"/>
      <c r="AC3" s="160" t="s">
        <v>10</v>
      </c>
      <c r="AD3" s="160"/>
      <c r="AE3" s="160"/>
      <c r="AF3" s="160" t="s">
        <v>11</v>
      </c>
      <c r="AG3" s="160"/>
      <c r="AH3" s="160"/>
      <c r="AI3" s="160" t="s">
        <v>12</v>
      </c>
      <c r="AJ3" s="160"/>
      <c r="AK3" s="160"/>
      <c r="AL3" s="160" t="s">
        <v>13</v>
      </c>
      <c r="AM3" s="160"/>
      <c r="AN3" s="160"/>
      <c r="AO3" s="160" t="s">
        <v>14</v>
      </c>
      <c r="AP3" s="160"/>
      <c r="AQ3" s="160"/>
      <c r="AR3" s="160" t="s">
        <v>15</v>
      </c>
      <c r="AS3" s="160"/>
      <c r="AT3" s="160"/>
      <c r="AU3" s="160" t="s">
        <v>16</v>
      </c>
      <c r="AV3" s="160"/>
      <c r="AW3" s="160"/>
      <c r="AX3" s="160" t="s">
        <v>17</v>
      </c>
      <c r="AY3" s="160"/>
      <c r="AZ3" s="160"/>
      <c r="BA3" s="160" t="s">
        <v>18</v>
      </c>
      <c r="BB3" s="160"/>
      <c r="BC3" s="160"/>
      <c r="BD3" s="160" t="s">
        <v>19</v>
      </c>
      <c r="BE3" s="160"/>
      <c r="BF3" s="160"/>
      <c r="BG3" s="160" t="s">
        <v>20</v>
      </c>
      <c r="BH3" s="160"/>
      <c r="BI3" s="160"/>
      <c r="BJ3" s="160" t="s">
        <v>21</v>
      </c>
      <c r="BK3" s="160"/>
      <c r="BL3" s="160"/>
      <c r="BM3" s="160" t="s">
        <v>109</v>
      </c>
      <c r="BN3" s="160"/>
      <c r="BO3" s="160"/>
      <c r="BP3" s="160" t="s">
        <v>110</v>
      </c>
      <c r="BQ3" s="160"/>
      <c r="BR3" s="160"/>
      <c r="BS3" s="160" t="s">
        <v>22</v>
      </c>
      <c r="BT3" s="160"/>
      <c r="BU3" s="160"/>
      <c r="BV3" s="160" t="s">
        <v>23</v>
      </c>
      <c r="BW3" s="160"/>
      <c r="BX3" s="160"/>
      <c r="BY3" s="160" t="s">
        <v>24</v>
      </c>
      <c r="BZ3" s="160"/>
      <c r="CA3" s="160"/>
      <c r="CB3" s="160" t="s">
        <v>25</v>
      </c>
      <c r="CC3" s="160"/>
      <c r="CD3" s="160"/>
      <c r="CE3" s="160" t="s">
        <v>26</v>
      </c>
      <c r="CF3" s="160"/>
      <c r="CG3" s="160"/>
      <c r="CH3" s="160" t="s">
        <v>27</v>
      </c>
      <c r="CI3" s="160"/>
      <c r="CJ3" s="160"/>
      <c r="CK3" s="160" t="s">
        <v>28</v>
      </c>
      <c r="CL3" s="160"/>
      <c r="CM3" s="160"/>
      <c r="CN3" s="160" t="s">
        <v>29</v>
      </c>
      <c r="CO3" s="160"/>
      <c r="CP3" s="160"/>
      <c r="CQ3" s="160" t="s">
        <v>30</v>
      </c>
      <c r="CR3" s="160"/>
      <c r="CS3" s="160"/>
      <c r="CT3" s="160" t="s">
        <v>31</v>
      </c>
      <c r="CU3" s="160"/>
      <c r="CV3" s="160"/>
    </row>
    <row r="4" spans="1:100" s="19" customFormat="1" x14ac:dyDescent="0.25">
      <c r="A4" s="166"/>
      <c r="B4" s="97" t="s">
        <v>229</v>
      </c>
      <c r="C4" s="97" t="s">
        <v>230</v>
      </c>
      <c r="D4" s="97" t="s">
        <v>231</v>
      </c>
      <c r="E4" s="97" t="s">
        <v>229</v>
      </c>
      <c r="F4" s="97" t="s">
        <v>230</v>
      </c>
      <c r="G4" s="97" t="s">
        <v>231</v>
      </c>
      <c r="H4" s="97" t="s">
        <v>229</v>
      </c>
      <c r="I4" s="97" t="s">
        <v>230</v>
      </c>
      <c r="J4" s="97" t="s">
        <v>231</v>
      </c>
      <c r="K4" s="97" t="s">
        <v>229</v>
      </c>
      <c r="L4" s="97" t="s">
        <v>230</v>
      </c>
      <c r="M4" s="97" t="s">
        <v>231</v>
      </c>
      <c r="N4" s="97" t="s">
        <v>229</v>
      </c>
      <c r="O4" s="97" t="s">
        <v>230</v>
      </c>
      <c r="P4" s="97" t="s">
        <v>231</v>
      </c>
      <c r="Q4" s="97" t="s">
        <v>229</v>
      </c>
      <c r="R4" s="97" t="s">
        <v>230</v>
      </c>
      <c r="S4" s="97" t="s">
        <v>231</v>
      </c>
      <c r="T4" s="97" t="s">
        <v>229</v>
      </c>
      <c r="U4" s="97" t="s">
        <v>230</v>
      </c>
      <c r="V4" s="97" t="s">
        <v>231</v>
      </c>
      <c r="W4" s="97" t="s">
        <v>229</v>
      </c>
      <c r="X4" s="97" t="s">
        <v>230</v>
      </c>
      <c r="Y4" s="97" t="s">
        <v>231</v>
      </c>
      <c r="Z4" s="97" t="s">
        <v>229</v>
      </c>
      <c r="AA4" s="97" t="s">
        <v>230</v>
      </c>
      <c r="AB4" s="97" t="s">
        <v>231</v>
      </c>
      <c r="AC4" s="97" t="s">
        <v>229</v>
      </c>
      <c r="AD4" s="97" t="s">
        <v>230</v>
      </c>
      <c r="AE4" s="97" t="s">
        <v>231</v>
      </c>
      <c r="AF4" s="97" t="s">
        <v>229</v>
      </c>
      <c r="AG4" s="97" t="s">
        <v>230</v>
      </c>
      <c r="AH4" s="97" t="s">
        <v>231</v>
      </c>
      <c r="AI4" s="97" t="s">
        <v>229</v>
      </c>
      <c r="AJ4" s="97" t="s">
        <v>230</v>
      </c>
      <c r="AK4" s="97" t="s">
        <v>231</v>
      </c>
      <c r="AL4" s="97" t="s">
        <v>229</v>
      </c>
      <c r="AM4" s="97" t="s">
        <v>230</v>
      </c>
      <c r="AN4" s="97" t="s">
        <v>231</v>
      </c>
      <c r="AO4" s="97" t="s">
        <v>229</v>
      </c>
      <c r="AP4" s="97" t="s">
        <v>230</v>
      </c>
      <c r="AQ4" s="97" t="s">
        <v>231</v>
      </c>
      <c r="AR4" s="97" t="s">
        <v>229</v>
      </c>
      <c r="AS4" s="97" t="s">
        <v>230</v>
      </c>
      <c r="AT4" s="97" t="s">
        <v>231</v>
      </c>
      <c r="AU4" s="97" t="s">
        <v>229</v>
      </c>
      <c r="AV4" s="97" t="s">
        <v>230</v>
      </c>
      <c r="AW4" s="97" t="s">
        <v>231</v>
      </c>
      <c r="AX4" s="97" t="s">
        <v>229</v>
      </c>
      <c r="AY4" s="97" t="s">
        <v>230</v>
      </c>
      <c r="AZ4" s="97" t="s">
        <v>231</v>
      </c>
      <c r="BA4" s="97" t="s">
        <v>229</v>
      </c>
      <c r="BB4" s="97" t="s">
        <v>230</v>
      </c>
      <c r="BC4" s="97" t="s">
        <v>231</v>
      </c>
      <c r="BD4" s="97" t="s">
        <v>229</v>
      </c>
      <c r="BE4" s="97" t="s">
        <v>230</v>
      </c>
      <c r="BF4" s="97" t="s">
        <v>231</v>
      </c>
      <c r="BG4" s="97" t="s">
        <v>229</v>
      </c>
      <c r="BH4" s="97" t="s">
        <v>230</v>
      </c>
      <c r="BI4" s="97" t="s">
        <v>231</v>
      </c>
      <c r="BJ4" s="97" t="s">
        <v>229</v>
      </c>
      <c r="BK4" s="97" t="s">
        <v>230</v>
      </c>
      <c r="BL4" s="97" t="s">
        <v>231</v>
      </c>
      <c r="BM4" s="97" t="s">
        <v>229</v>
      </c>
      <c r="BN4" s="97" t="s">
        <v>230</v>
      </c>
      <c r="BO4" s="97" t="s">
        <v>231</v>
      </c>
      <c r="BP4" s="97" t="s">
        <v>229</v>
      </c>
      <c r="BQ4" s="97" t="s">
        <v>230</v>
      </c>
      <c r="BR4" s="97" t="s">
        <v>231</v>
      </c>
      <c r="BS4" s="97" t="s">
        <v>229</v>
      </c>
      <c r="BT4" s="97" t="s">
        <v>230</v>
      </c>
      <c r="BU4" s="97" t="s">
        <v>231</v>
      </c>
      <c r="BV4" s="97" t="s">
        <v>229</v>
      </c>
      <c r="BW4" s="97" t="s">
        <v>230</v>
      </c>
      <c r="BX4" s="97" t="s">
        <v>231</v>
      </c>
      <c r="BY4" s="97" t="s">
        <v>229</v>
      </c>
      <c r="BZ4" s="97" t="s">
        <v>230</v>
      </c>
      <c r="CA4" s="97" t="s">
        <v>231</v>
      </c>
      <c r="CB4" s="97" t="s">
        <v>229</v>
      </c>
      <c r="CC4" s="97" t="s">
        <v>230</v>
      </c>
      <c r="CD4" s="97" t="s">
        <v>231</v>
      </c>
      <c r="CE4" s="97" t="s">
        <v>229</v>
      </c>
      <c r="CF4" s="97" t="s">
        <v>230</v>
      </c>
      <c r="CG4" s="97" t="s">
        <v>231</v>
      </c>
      <c r="CH4" s="97" t="s">
        <v>229</v>
      </c>
      <c r="CI4" s="97" t="s">
        <v>230</v>
      </c>
      <c r="CJ4" s="97" t="s">
        <v>231</v>
      </c>
      <c r="CK4" s="97" t="s">
        <v>229</v>
      </c>
      <c r="CL4" s="97" t="s">
        <v>230</v>
      </c>
      <c r="CM4" s="97" t="s">
        <v>231</v>
      </c>
      <c r="CN4" s="97" t="s">
        <v>229</v>
      </c>
      <c r="CO4" s="97" t="s">
        <v>230</v>
      </c>
      <c r="CP4" s="97" t="s">
        <v>231</v>
      </c>
      <c r="CQ4" s="97" t="s">
        <v>229</v>
      </c>
      <c r="CR4" s="97" t="s">
        <v>230</v>
      </c>
      <c r="CS4" s="97" t="s">
        <v>231</v>
      </c>
      <c r="CT4" s="97" t="s">
        <v>229</v>
      </c>
      <c r="CU4" s="97" t="s">
        <v>230</v>
      </c>
      <c r="CV4" s="97" t="s">
        <v>231</v>
      </c>
    </row>
    <row r="5" spans="1:100" x14ac:dyDescent="0.25">
      <c r="A5" s="20" t="s">
        <v>205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</row>
    <row r="6" spans="1:100" ht="30" x14ac:dyDescent="0.25">
      <c r="A6" s="22" t="s">
        <v>206</v>
      </c>
      <c r="B6" s="18"/>
      <c r="C6" s="18"/>
      <c r="D6" s="18">
        <v>153055</v>
      </c>
      <c r="E6" s="18">
        <v>545480</v>
      </c>
      <c r="F6" s="18">
        <v>152766</v>
      </c>
      <c r="G6" s="18"/>
      <c r="H6" s="18"/>
      <c r="I6" s="18"/>
      <c r="J6" s="18">
        <v>11108573</v>
      </c>
      <c r="K6" s="18"/>
      <c r="L6" s="18"/>
      <c r="M6" s="18">
        <v>3716691</v>
      </c>
      <c r="N6" s="18"/>
      <c r="O6" s="18"/>
      <c r="P6" s="18">
        <v>58419658</v>
      </c>
      <c r="Q6" s="18">
        <v>1661687</v>
      </c>
      <c r="R6" s="18">
        <v>8327674</v>
      </c>
      <c r="S6" s="18"/>
      <c r="T6" s="18">
        <v>2340261</v>
      </c>
      <c r="U6" s="18">
        <v>18588166</v>
      </c>
      <c r="V6" s="18"/>
      <c r="W6" s="18">
        <v>244553</v>
      </c>
      <c r="X6" s="18">
        <v>530256</v>
      </c>
      <c r="Y6" s="18"/>
      <c r="Z6" s="18">
        <v>152481</v>
      </c>
      <c r="AA6" s="18">
        <v>253685</v>
      </c>
      <c r="AB6" s="18"/>
      <c r="AC6" s="18">
        <v>346789</v>
      </c>
      <c r="AD6" s="18">
        <v>96702</v>
      </c>
      <c r="AE6" s="18"/>
      <c r="AF6" s="18">
        <f>7016584.54+5106492.49</f>
        <v>12123077.030000001</v>
      </c>
      <c r="AG6" s="18">
        <f>11448111.63+8331645.64</f>
        <v>19779757.27</v>
      </c>
      <c r="AH6" s="18"/>
      <c r="AI6" s="18">
        <v>1875247</v>
      </c>
      <c r="AJ6" s="18">
        <v>10033456</v>
      </c>
      <c r="AK6" s="18"/>
      <c r="AL6" s="18">
        <v>1344799</v>
      </c>
      <c r="AM6" s="18"/>
      <c r="AN6" s="18"/>
      <c r="AO6" s="18">
        <v>5822260</v>
      </c>
      <c r="AP6" s="18">
        <v>20343232</v>
      </c>
      <c r="AQ6" s="18"/>
      <c r="AR6" s="18"/>
      <c r="AS6" s="18"/>
      <c r="AT6" s="18">
        <v>54462952</v>
      </c>
      <c r="AU6" s="18">
        <v>4811613</v>
      </c>
      <c r="AV6" s="18">
        <v>17895394</v>
      </c>
      <c r="AW6" s="18"/>
      <c r="AX6" s="18">
        <v>193810</v>
      </c>
      <c r="AY6" s="18">
        <v>737223</v>
      </c>
      <c r="AZ6" s="18"/>
      <c r="BA6" s="18">
        <v>706222</v>
      </c>
      <c r="BB6" s="18">
        <v>1700289</v>
      </c>
      <c r="BC6" s="18"/>
      <c r="BD6" s="18">
        <v>553136</v>
      </c>
      <c r="BE6" s="18">
        <v>2817557</v>
      </c>
      <c r="BF6" s="18"/>
      <c r="BG6" s="18">
        <v>352607</v>
      </c>
      <c r="BH6" s="18">
        <v>1106587</v>
      </c>
      <c r="BI6" s="18"/>
      <c r="BJ6" s="18">
        <v>16223858.195432067</v>
      </c>
      <c r="BK6" s="18">
        <v>63631863.804567933</v>
      </c>
      <c r="BL6" s="18"/>
      <c r="BM6" s="18"/>
      <c r="BN6" s="18"/>
      <c r="BO6" s="18">
        <v>165094103</v>
      </c>
      <c r="BP6" s="18"/>
      <c r="BQ6" s="18"/>
      <c r="BR6" s="18">
        <v>62061039</v>
      </c>
      <c r="BS6" s="18"/>
      <c r="BT6" s="18"/>
      <c r="BU6" s="18">
        <v>1022945</v>
      </c>
      <c r="BV6" s="18">
        <v>3904062</v>
      </c>
      <c r="BW6" s="18">
        <v>23037940</v>
      </c>
      <c r="BX6" s="18"/>
      <c r="BY6" s="18"/>
      <c r="BZ6" s="18"/>
      <c r="CA6" s="18">
        <v>1976852</v>
      </c>
      <c r="CB6" s="18"/>
      <c r="CC6" s="18"/>
      <c r="CD6" s="18">
        <v>2694484</v>
      </c>
      <c r="CE6" s="18">
        <v>3626915</v>
      </c>
      <c r="CF6" s="18">
        <v>12282003</v>
      </c>
      <c r="CG6" s="18"/>
      <c r="CH6" s="18"/>
      <c r="CI6" s="18"/>
      <c r="CJ6" s="18">
        <v>20582615</v>
      </c>
      <c r="CK6" s="18"/>
      <c r="CL6" s="18"/>
      <c r="CM6" s="18"/>
      <c r="CN6" s="18">
        <v>4881640</v>
      </c>
      <c r="CO6" s="18">
        <v>21191421</v>
      </c>
      <c r="CP6" s="18"/>
      <c r="CQ6" s="18"/>
      <c r="CR6" s="18"/>
      <c r="CS6" s="18">
        <v>97533992</v>
      </c>
      <c r="CT6" s="18">
        <v>2062985</v>
      </c>
      <c r="CU6" s="18">
        <v>5174867</v>
      </c>
      <c r="CV6" s="18"/>
    </row>
    <row r="7" spans="1:100" x14ac:dyDescent="0.25">
      <c r="A7" s="22" t="s">
        <v>207</v>
      </c>
      <c r="B7" s="18"/>
      <c r="C7" s="18"/>
      <c r="D7" s="18"/>
      <c r="E7" s="18">
        <v>152819</v>
      </c>
      <c r="F7" s="18"/>
      <c r="G7" s="18"/>
      <c r="H7" s="18"/>
      <c r="I7" s="18"/>
      <c r="J7" s="18">
        <v>9152302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>
        <v>104760</v>
      </c>
      <c r="X7" s="18">
        <v>155995</v>
      </c>
      <c r="Y7" s="18"/>
      <c r="Z7" s="18">
        <v>100178</v>
      </c>
      <c r="AA7" s="18">
        <v>99696</v>
      </c>
      <c r="AB7" s="18"/>
      <c r="AC7" s="18">
        <v>6160</v>
      </c>
      <c r="AD7" s="18"/>
      <c r="AE7" s="18"/>
      <c r="AF7" s="18">
        <v>247276.6</v>
      </c>
      <c r="AG7" s="18">
        <v>403451.3</v>
      </c>
      <c r="AH7" s="18"/>
      <c r="AI7" s="18"/>
      <c r="AJ7" s="18"/>
      <c r="AK7" s="18"/>
      <c r="AL7" s="18">
        <v>218738</v>
      </c>
      <c r="AM7" s="18"/>
      <c r="AN7" s="18"/>
      <c r="AO7" s="18">
        <v>1825720</v>
      </c>
      <c r="AP7" s="18">
        <v>6379147</v>
      </c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>
        <v>199127</v>
      </c>
      <c r="BB7" s="18">
        <v>479416</v>
      </c>
      <c r="BC7" s="18"/>
      <c r="BD7" s="18">
        <v>110032</v>
      </c>
      <c r="BE7" s="18">
        <v>560477</v>
      </c>
      <c r="BF7" s="18"/>
      <c r="BG7" s="18">
        <v>565522</v>
      </c>
      <c r="BH7" s="18"/>
      <c r="BI7" s="18"/>
      <c r="BJ7" s="18">
        <v>56545.795581732142</v>
      </c>
      <c r="BK7" s="18">
        <v>221779.20441826785</v>
      </c>
      <c r="BL7" s="18"/>
      <c r="BM7" s="18"/>
      <c r="BN7" s="18"/>
      <c r="BO7" s="18"/>
      <c r="BP7" s="18"/>
      <c r="BQ7" s="18"/>
      <c r="BR7" s="18">
        <v>642950</v>
      </c>
      <c r="BS7" s="18"/>
      <c r="BT7" s="18"/>
      <c r="BU7" s="18"/>
      <c r="BV7" s="18">
        <v>1135207</v>
      </c>
      <c r="BW7" s="18">
        <v>6698879</v>
      </c>
      <c r="BX7" s="18"/>
      <c r="BY7" s="18"/>
      <c r="BZ7" s="18"/>
      <c r="CA7" s="18">
        <v>903223</v>
      </c>
      <c r="CB7" s="18"/>
      <c r="CC7" s="18"/>
      <c r="CD7" s="18"/>
      <c r="CE7" s="18">
        <v>1453734</v>
      </c>
      <c r="CF7" s="18">
        <v>5485948</v>
      </c>
      <c r="CG7" s="18"/>
      <c r="CH7" s="18"/>
      <c r="CI7" s="18"/>
      <c r="CJ7" s="18">
        <v>632500</v>
      </c>
      <c r="CK7" s="18"/>
      <c r="CL7" s="18"/>
      <c r="CM7" s="18"/>
      <c r="CN7" s="18"/>
      <c r="CO7" s="18"/>
      <c r="CP7" s="18"/>
      <c r="CQ7" s="18"/>
      <c r="CR7" s="18"/>
      <c r="CS7" s="18"/>
      <c r="CT7" s="18">
        <v>31410</v>
      </c>
      <c r="CU7" s="18">
        <v>78790</v>
      </c>
      <c r="CV7" s="18"/>
    </row>
    <row r="8" spans="1:100" x14ac:dyDescent="0.25">
      <c r="A8" s="22" t="s">
        <v>208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</row>
    <row r="9" spans="1:100" x14ac:dyDescent="0.25">
      <c r="A9" s="22" t="s">
        <v>209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</row>
    <row r="10" spans="1:100" x14ac:dyDescent="0.25">
      <c r="A10" s="22" t="s">
        <v>210</v>
      </c>
      <c r="B10" s="18"/>
      <c r="C10" s="18"/>
      <c r="D10" s="18"/>
      <c r="E10" s="18"/>
      <c r="F10" s="18"/>
      <c r="G10" s="18"/>
      <c r="H10" s="18"/>
      <c r="I10" s="18"/>
      <c r="J10" s="18">
        <v>2751388</v>
      </c>
      <c r="K10" s="18"/>
      <c r="L10" s="18"/>
      <c r="M10" s="18"/>
      <c r="N10" s="18"/>
      <c r="O10" s="18"/>
      <c r="P10" s="18">
        <v>10580322</v>
      </c>
      <c r="Q10" s="18">
        <v>13716</v>
      </c>
      <c r="R10" s="18">
        <v>68739</v>
      </c>
      <c r="S10" s="18"/>
      <c r="T10" s="18">
        <v>134767</v>
      </c>
      <c r="U10" s="18">
        <v>1070428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>
        <v>4621524.99</v>
      </c>
      <c r="AG10" s="18">
        <v>7540382.8899999997</v>
      </c>
      <c r="AH10" s="18"/>
      <c r="AI10" s="18"/>
      <c r="AJ10" s="18"/>
      <c r="AK10" s="18"/>
      <c r="AL10" s="18"/>
      <c r="AM10" s="18"/>
      <c r="AN10" s="18"/>
      <c r="AO10" s="18">
        <v>884603</v>
      </c>
      <c r="AP10" s="18">
        <v>3090840</v>
      </c>
      <c r="AQ10" s="18"/>
      <c r="AR10" s="18"/>
      <c r="AS10" s="18"/>
      <c r="AT10" s="18">
        <v>25967470</v>
      </c>
      <c r="AU10" s="18">
        <v>7446</v>
      </c>
      <c r="AV10" s="18">
        <v>27693</v>
      </c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>
        <v>22891624.23190799</v>
      </c>
      <c r="BK10" s="18">
        <v>89783619.768092006</v>
      </c>
      <c r="BL10" s="18"/>
      <c r="BM10" s="18"/>
      <c r="BN10" s="18"/>
      <c r="BO10" s="18">
        <v>277269469</v>
      </c>
      <c r="BP10" s="18"/>
      <c r="BQ10" s="18"/>
      <c r="BR10" s="18">
        <v>101956234</v>
      </c>
      <c r="BS10" s="18"/>
      <c r="BT10" s="18"/>
      <c r="BU10" s="18"/>
      <c r="BV10" s="18">
        <v>233717</v>
      </c>
      <c r="BW10" s="18">
        <v>1379170</v>
      </c>
      <c r="BX10" s="18"/>
      <c r="BY10" s="18"/>
      <c r="BZ10" s="18"/>
      <c r="CA10" s="18">
        <v>28375</v>
      </c>
      <c r="CB10" s="18"/>
      <c r="CC10" s="18"/>
      <c r="CD10" s="18"/>
      <c r="CE10" s="18">
        <v>1105186</v>
      </c>
      <c r="CF10" s="18"/>
      <c r="CG10" s="18"/>
      <c r="CH10" s="18"/>
      <c r="CI10" s="18"/>
      <c r="CJ10" s="18">
        <v>560865</v>
      </c>
      <c r="CK10" s="18"/>
      <c r="CL10" s="18"/>
      <c r="CM10" s="18"/>
      <c r="CN10" s="18">
        <v>1283778</v>
      </c>
      <c r="CO10" s="18">
        <v>5572939</v>
      </c>
      <c r="CP10" s="18"/>
      <c r="CQ10" s="18"/>
      <c r="CR10" s="18"/>
      <c r="CS10" s="18">
        <v>92681447</v>
      </c>
      <c r="CT10" s="18"/>
      <c r="CU10" s="18"/>
      <c r="CV10" s="18"/>
    </row>
    <row r="11" spans="1:100" x14ac:dyDescent="0.25">
      <c r="A11" s="22" t="s">
        <v>211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>
        <v>752500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>
        <v>16023</v>
      </c>
      <c r="AP11" s="18">
        <v>55984</v>
      </c>
      <c r="AQ11" s="18"/>
      <c r="AR11" s="18"/>
      <c r="AS11" s="18"/>
      <c r="AT11" s="18">
        <v>48805</v>
      </c>
      <c r="AU11" s="18"/>
      <c r="AV11" s="18"/>
      <c r="AW11" s="18"/>
      <c r="AX11" s="18"/>
      <c r="AY11" s="18"/>
      <c r="AZ11" s="18"/>
      <c r="BA11" s="18"/>
      <c r="BB11" s="18"/>
      <c r="BC11" s="18"/>
      <c r="BD11" s="18">
        <v>8733</v>
      </c>
      <c r="BE11" s="18">
        <v>44485</v>
      </c>
      <c r="BF11" s="18"/>
      <c r="BG11" s="18"/>
      <c r="BH11" s="18"/>
      <c r="BI11" s="18"/>
      <c r="BJ11" s="18">
        <v>5232.3018751888249</v>
      </c>
      <c r="BK11" s="18">
        <v>20521.698124811177</v>
      </c>
      <c r="BL11" s="18"/>
      <c r="BM11" s="18"/>
      <c r="BN11" s="18"/>
      <c r="BO11" s="18">
        <v>1947</v>
      </c>
      <c r="BP11" s="18"/>
      <c r="BQ11" s="18"/>
      <c r="BR11" s="18">
        <v>64987</v>
      </c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</row>
    <row r="12" spans="1:100" x14ac:dyDescent="0.25">
      <c r="A12" s="22" t="s">
        <v>212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>
        <v>15582</v>
      </c>
      <c r="AP12" s="18">
        <v>54443</v>
      </c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>
        <v>987703</v>
      </c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</row>
    <row r="13" spans="1:100" x14ac:dyDescent="0.25">
      <c r="A13" s="22" t="s">
        <v>213</v>
      </c>
      <c r="B13" s="18"/>
      <c r="C13" s="18"/>
      <c r="D13" s="18">
        <v>202037</v>
      </c>
      <c r="E13" s="18"/>
      <c r="F13" s="18">
        <v>352558</v>
      </c>
      <c r="G13" s="18"/>
      <c r="H13" s="18"/>
      <c r="I13" s="18"/>
      <c r="J13" s="18">
        <v>10263371</v>
      </c>
      <c r="K13" s="18"/>
      <c r="L13" s="18"/>
      <c r="M13" s="18">
        <v>1881085</v>
      </c>
      <c r="N13" s="18"/>
      <c r="O13" s="18"/>
      <c r="P13" s="18">
        <v>14878749</v>
      </c>
      <c r="Q13" s="18">
        <v>1607551</v>
      </c>
      <c r="R13" s="18">
        <v>8056369</v>
      </c>
      <c r="S13" s="18"/>
      <c r="T13" s="18">
        <v>2345382</v>
      </c>
      <c r="U13" s="18">
        <v>18628846</v>
      </c>
      <c r="V13" s="18"/>
      <c r="W13" s="18">
        <v>250105</v>
      </c>
      <c r="X13" s="18">
        <v>709004</v>
      </c>
      <c r="Y13" s="18"/>
      <c r="Z13" s="18">
        <v>50647</v>
      </c>
      <c r="AA13" s="18">
        <v>149304</v>
      </c>
      <c r="AB13" s="18"/>
      <c r="AC13" s="18">
        <v>84958</v>
      </c>
      <c r="AD13" s="18"/>
      <c r="AE13" s="18"/>
      <c r="AF13" s="18">
        <f>3564510.4+1308313.28</f>
        <v>4872823.68</v>
      </c>
      <c r="AG13" s="18">
        <f>5815780.13+2134616.39</f>
        <v>7950396.5199999996</v>
      </c>
      <c r="AH13" s="18"/>
      <c r="AI13" s="18">
        <v>1239394</v>
      </c>
      <c r="AJ13" s="18">
        <v>6631342</v>
      </c>
      <c r="AK13" s="18"/>
      <c r="AL13" s="18">
        <v>606578</v>
      </c>
      <c r="AM13" s="18"/>
      <c r="AN13" s="18"/>
      <c r="AO13" s="18">
        <v>1923557</v>
      </c>
      <c r="AP13" s="18">
        <v>6720992</v>
      </c>
      <c r="AQ13" s="18"/>
      <c r="AR13" s="18"/>
      <c r="AS13" s="18"/>
      <c r="AT13" s="18">
        <v>37855942</v>
      </c>
      <c r="AU13" s="18">
        <v>1775159</v>
      </c>
      <c r="AV13" s="18">
        <v>6602189</v>
      </c>
      <c r="AW13" s="18"/>
      <c r="AX13" s="18">
        <v>162275</v>
      </c>
      <c r="AY13" s="18">
        <v>287790</v>
      </c>
      <c r="AZ13" s="18"/>
      <c r="BA13" s="18">
        <v>958776</v>
      </c>
      <c r="BB13" s="18">
        <v>2308336</v>
      </c>
      <c r="BC13" s="18"/>
      <c r="BD13" s="18">
        <v>433765</v>
      </c>
      <c r="BE13" s="18">
        <v>2209508</v>
      </c>
      <c r="BF13" s="18"/>
      <c r="BG13" s="18">
        <v>254605</v>
      </c>
      <c r="BH13" s="18">
        <v>503180</v>
      </c>
      <c r="BI13" s="18"/>
      <c r="BJ13" s="18">
        <v>4643807.0820014765</v>
      </c>
      <c r="BK13" s="18">
        <v>18213552.917998523</v>
      </c>
      <c r="BL13" s="18"/>
      <c r="BM13" s="18"/>
      <c r="BN13" s="18"/>
      <c r="BO13" s="18">
        <v>27180985</v>
      </c>
      <c r="BP13" s="18"/>
      <c r="BQ13" s="18"/>
      <c r="BR13" s="18">
        <v>14960756</v>
      </c>
      <c r="BS13" s="18"/>
      <c r="BT13" s="18"/>
      <c r="BU13" s="18">
        <v>1062782</v>
      </c>
      <c r="BV13" s="18">
        <v>2807371</v>
      </c>
      <c r="BW13" s="18">
        <v>16566345</v>
      </c>
      <c r="BX13" s="18"/>
      <c r="BY13" s="18"/>
      <c r="BZ13" s="18"/>
      <c r="CA13" s="18">
        <v>1657998</v>
      </c>
      <c r="CB13" s="18"/>
      <c r="CC13" s="18"/>
      <c r="CD13" s="18">
        <v>2553676</v>
      </c>
      <c r="CE13" s="18">
        <v>900690</v>
      </c>
      <c r="CF13" s="18">
        <v>6805105</v>
      </c>
      <c r="CG13" s="18"/>
      <c r="CH13" s="18"/>
      <c r="CI13" s="18"/>
      <c r="CJ13" s="18">
        <v>5583679</v>
      </c>
      <c r="CK13" s="18"/>
      <c r="CL13" s="18"/>
      <c r="CM13" s="18"/>
      <c r="CN13" s="18">
        <v>2587912</v>
      </c>
      <c r="CO13" s="18">
        <v>11234245</v>
      </c>
      <c r="CP13" s="18"/>
      <c r="CQ13" s="18"/>
      <c r="CR13" s="18"/>
      <c r="CS13" s="18">
        <v>20925053</v>
      </c>
      <c r="CT13" s="18">
        <v>1515713</v>
      </c>
      <c r="CU13" s="18">
        <v>3802070</v>
      </c>
      <c r="CV13" s="18"/>
    </row>
    <row r="14" spans="1:100" x14ac:dyDescent="0.25">
      <c r="A14" s="22" t="s">
        <v>214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>
        <v>1169824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>
        <v>17954</v>
      </c>
      <c r="AD14" s="18"/>
      <c r="AE14" s="18"/>
      <c r="AG14" s="18"/>
      <c r="AH14" s="18"/>
      <c r="AI14" s="18"/>
      <c r="AJ14" s="18"/>
      <c r="AK14" s="18"/>
      <c r="AL14" s="18"/>
      <c r="AM14" s="18"/>
      <c r="AN14" s="18"/>
      <c r="AO14" s="18">
        <v>100800</v>
      </c>
      <c r="AP14" s="18">
        <v>352200</v>
      </c>
      <c r="AQ14" s="18"/>
      <c r="AR14" s="18"/>
      <c r="AS14" s="18"/>
      <c r="AT14" s="18">
        <v>4596610</v>
      </c>
      <c r="AU14" s="18"/>
      <c r="AV14" s="18"/>
      <c r="AW14" s="18"/>
      <c r="AX14" s="18"/>
      <c r="AY14" s="18"/>
      <c r="AZ14" s="18"/>
      <c r="BA14" s="18"/>
      <c r="BB14" s="18"/>
      <c r="BC14" s="18"/>
      <c r="BD14" s="18">
        <v>32820</v>
      </c>
      <c r="BE14" s="18">
        <v>167180</v>
      </c>
      <c r="BF14" s="18"/>
      <c r="BG14" s="18"/>
      <c r="BH14" s="18"/>
      <c r="BI14" s="18"/>
      <c r="BJ14" s="18"/>
      <c r="BK14" s="18"/>
      <c r="BL14" s="18"/>
      <c r="BM14" s="18"/>
      <c r="BN14" s="18"/>
      <c r="BO14" s="18">
        <v>57839</v>
      </c>
      <c r="BP14" s="18"/>
      <c r="BQ14" s="18"/>
      <c r="BR14" s="18">
        <v>535088</v>
      </c>
      <c r="BS14" s="18"/>
      <c r="BT14" s="18"/>
      <c r="BU14" s="18"/>
      <c r="BV14" s="18"/>
      <c r="BW14" s="18"/>
      <c r="BX14" s="18"/>
      <c r="BY14" s="18"/>
      <c r="BZ14" s="18"/>
      <c r="CA14" s="18">
        <v>210200</v>
      </c>
      <c r="CB14" s="18"/>
      <c r="CC14" s="18"/>
      <c r="CD14" s="18"/>
      <c r="CE14" s="18">
        <v>10194</v>
      </c>
      <c r="CF14" s="18">
        <v>31100</v>
      </c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</row>
    <row r="15" spans="1:100" x14ac:dyDescent="0.25">
      <c r="A15" s="22" t="s">
        <v>215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>
        <v>1212874</v>
      </c>
      <c r="AV15" s="18">
        <v>4510930</v>
      </c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</row>
    <row r="16" spans="1:100" x14ac:dyDescent="0.25">
      <c r="A16" s="22" t="s">
        <v>216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>
        <v>7795</v>
      </c>
      <c r="AJ16" s="18">
        <v>41705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>
        <v>1059</v>
      </c>
      <c r="AV16" s="18">
        <v>3941</v>
      </c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>
        <v>426537</v>
      </c>
      <c r="BP16" s="18"/>
      <c r="BQ16" s="18"/>
      <c r="BR16" s="18">
        <v>500</v>
      </c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>
        <v>731641</v>
      </c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</row>
    <row r="17" spans="1:100" x14ac:dyDescent="0.25">
      <c r="A17" s="22" t="s">
        <v>217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>
        <v>130349</v>
      </c>
      <c r="R17" s="18">
        <v>653252</v>
      </c>
      <c r="S17" s="18"/>
      <c r="T17" s="18">
        <v>32233</v>
      </c>
      <c r="U17" s="18">
        <v>256018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>
        <v>1415907</v>
      </c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>
        <v>4822.8630093979846</v>
      </c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</row>
    <row r="18" spans="1:100" x14ac:dyDescent="0.25">
      <c r="A18" s="22" t="s">
        <v>218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>
        <v>225736.82963531601</v>
      </c>
      <c r="BK18" s="18">
        <v>885366.17036468396</v>
      </c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</row>
    <row r="19" spans="1:100" x14ac:dyDescent="0.25">
      <c r="A19" s="22" t="s">
        <v>219</v>
      </c>
      <c r="B19" s="18"/>
      <c r="C19" s="18"/>
      <c r="D19" s="18">
        <v>152391</v>
      </c>
      <c r="E19" s="18">
        <v>50890</v>
      </c>
      <c r="F19" s="18">
        <f>202865+416411</f>
        <v>619276</v>
      </c>
      <c r="G19" s="18"/>
      <c r="H19" s="18"/>
      <c r="I19" s="18"/>
      <c r="J19" s="18">
        <v>7365709</v>
      </c>
      <c r="K19" s="18"/>
      <c r="L19" s="18"/>
      <c r="M19" s="18">
        <v>2272516</v>
      </c>
      <c r="N19" s="18"/>
      <c r="O19" s="18"/>
      <c r="P19" s="18">
        <v>36664190</v>
      </c>
      <c r="Q19" s="18">
        <v>1093794</v>
      </c>
      <c r="R19" s="18">
        <v>5481634</v>
      </c>
      <c r="S19" s="18"/>
      <c r="T19" s="18">
        <v>1301235</v>
      </c>
      <c r="U19" s="18">
        <v>10335417</v>
      </c>
      <c r="V19" s="18"/>
      <c r="W19" s="18">
        <v>253665</v>
      </c>
      <c r="X19" s="18">
        <v>601031</v>
      </c>
      <c r="Y19" s="18"/>
      <c r="Z19" s="18">
        <v>200481</v>
      </c>
      <c r="AA19" s="18"/>
      <c r="AB19" s="18"/>
      <c r="AC19" s="18">
        <v>413665</v>
      </c>
      <c r="AD19" s="18"/>
      <c r="AE19" s="18"/>
      <c r="AF19" s="18">
        <v>6860325.0800000001</v>
      </c>
      <c r="AG19" s="18">
        <v>11193161.98</v>
      </c>
      <c r="AH19" s="18"/>
      <c r="AI19" s="18">
        <v>1370805</v>
      </c>
      <c r="AJ19" s="18">
        <v>7334451</v>
      </c>
      <c r="AK19" s="18"/>
      <c r="AL19" s="18">
        <v>1084720</v>
      </c>
      <c r="AM19" s="18"/>
      <c r="AN19" s="18"/>
      <c r="AO19" s="18">
        <v>4647579</v>
      </c>
      <c r="AP19" s="18">
        <v>16238845</v>
      </c>
      <c r="AQ19" s="18"/>
      <c r="AR19" s="18"/>
      <c r="AS19" s="18"/>
      <c r="AT19" s="18">
        <v>43542365</v>
      </c>
      <c r="AU19" s="18">
        <v>6550333</v>
      </c>
      <c r="AV19" s="18">
        <v>24362057</v>
      </c>
      <c r="AW19" s="18"/>
      <c r="AX19" s="18">
        <v>351965</v>
      </c>
      <c r="AY19" s="18">
        <v>624202</v>
      </c>
      <c r="AZ19" s="18"/>
      <c r="BA19" s="18">
        <v>645034</v>
      </c>
      <c r="BB19" s="18">
        <v>1552975</v>
      </c>
      <c r="BC19" s="18"/>
      <c r="BD19" s="18">
        <v>333669</v>
      </c>
      <c r="BE19" s="18">
        <v>1699635</v>
      </c>
      <c r="BF19" s="18"/>
      <c r="BG19" s="18">
        <v>549399</v>
      </c>
      <c r="BH19" s="18">
        <v>1005312</v>
      </c>
      <c r="BI19" s="18"/>
      <c r="BJ19" s="18">
        <v>3503662.8233886287</v>
      </c>
      <c r="BK19" s="18">
        <v>13741774.176611371</v>
      </c>
      <c r="BL19" s="18"/>
      <c r="BM19" s="18"/>
      <c r="BN19" s="18"/>
      <c r="BO19" s="18">
        <v>52886107</v>
      </c>
      <c r="BP19" s="18"/>
      <c r="BQ19" s="18"/>
      <c r="BR19" s="18">
        <v>34180910</v>
      </c>
      <c r="BS19" s="18"/>
      <c r="BT19" s="18"/>
      <c r="BU19" s="18">
        <v>1016620</v>
      </c>
      <c r="BV19" s="18">
        <v>962214</v>
      </c>
      <c r="BW19" s="18">
        <v>5678045</v>
      </c>
      <c r="BX19" s="18"/>
      <c r="BY19" s="18"/>
      <c r="BZ19" s="18"/>
      <c r="CA19" s="18">
        <f>2015537+1001596</f>
        <v>3017133</v>
      </c>
      <c r="CB19" s="18"/>
      <c r="CC19" s="18"/>
      <c r="CD19" s="18">
        <v>1472659</v>
      </c>
      <c r="CE19" s="18">
        <v>4059496</v>
      </c>
      <c r="CF19" s="18">
        <v>7441496</v>
      </c>
      <c r="CG19" s="18"/>
      <c r="CH19" s="18"/>
      <c r="CI19" s="18"/>
      <c r="CJ19" s="18">
        <v>38606201</v>
      </c>
      <c r="CK19" s="18"/>
      <c r="CL19" s="18"/>
      <c r="CM19" s="18"/>
      <c r="CN19" s="18">
        <v>2992580</v>
      </c>
      <c r="CO19" s="18">
        <v>12990927</v>
      </c>
      <c r="CP19" s="18"/>
      <c r="CQ19" s="18"/>
      <c r="CR19" s="18"/>
      <c r="CS19" s="18">
        <v>61239587</v>
      </c>
      <c r="CT19" s="18">
        <v>1306280</v>
      </c>
      <c r="CU19" s="18">
        <v>3276719</v>
      </c>
      <c r="CV19" s="18"/>
    </row>
    <row r="20" spans="1:100" x14ac:dyDescent="0.25">
      <c r="A20" s="22" t="s">
        <v>220</v>
      </c>
      <c r="B20" s="18"/>
      <c r="C20" s="18"/>
      <c r="D20" s="18"/>
      <c r="E20" s="18"/>
      <c r="F20" s="18">
        <v>149987</v>
      </c>
      <c r="G20" s="18"/>
      <c r="H20" s="18"/>
      <c r="I20" s="18"/>
      <c r="J20" s="18">
        <v>100000</v>
      </c>
      <c r="K20" s="18"/>
      <c r="L20" s="18"/>
      <c r="M20" s="18"/>
      <c r="N20" s="18"/>
      <c r="O20" s="18"/>
      <c r="P20" s="18">
        <v>333335</v>
      </c>
      <c r="Q20" s="18">
        <v>8719</v>
      </c>
      <c r="R20" s="18">
        <v>43696</v>
      </c>
      <c r="S20" s="18"/>
      <c r="T20" s="18">
        <f>22364+22086+8387</f>
        <v>52837</v>
      </c>
      <c r="U20" s="18">
        <f>177636+175426+66613</f>
        <v>419675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>
        <v>440527.63</v>
      </c>
      <c r="AG20" s="18">
        <v>718755.6</v>
      </c>
      <c r="AH20" s="18"/>
      <c r="AI20" s="18"/>
      <c r="AJ20" s="18"/>
      <c r="AK20" s="18"/>
      <c r="AL20" s="18"/>
      <c r="AM20" s="18"/>
      <c r="AN20" s="18"/>
      <c r="AO20" s="18">
        <f>70067+28104+55806</f>
        <v>153977</v>
      </c>
      <c r="AP20" s="18">
        <f>244816+98197+194990</f>
        <v>538003</v>
      </c>
      <c r="AQ20" s="18"/>
      <c r="AR20" s="18"/>
      <c r="AS20" s="18"/>
      <c r="AT20" s="18"/>
      <c r="AU20" s="18">
        <f>3313+21190</f>
        <v>24503</v>
      </c>
      <c r="AV20" s="18">
        <f>12320+78810</f>
        <v>91130</v>
      </c>
      <c r="AW20" s="18"/>
      <c r="AX20" s="18"/>
      <c r="AY20" s="18"/>
      <c r="AZ20" s="18"/>
      <c r="BA20" s="18"/>
      <c r="BB20" s="18"/>
      <c r="BC20" s="18"/>
      <c r="BD20" s="18">
        <v>57830</v>
      </c>
      <c r="BE20" s="18">
        <v>294573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>
        <v>15786947</v>
      </c>
      <c r="BP20" s="18"/>
      <c r="BQ20" s="18"/>
      <c r="BR20" s="18"/>
      <c r="BS20" s="18"/>
      <c r="BT20" s="18"/>
      <c r="BU20" s="18"/>
      <c r="BV20" s="18">
        <v>141293</v>
      </c>
      <c r="BW20" s="18">
        <v>833775</v>
      </c>
      <c r="BX20" s="18"/>
      <c r="BY20" s="18"/>
      <c r="BZ20" s="18"/>
      <c r="CA20" s="18">
        <v>50000</v>
      </c>
      <c r="CB20" s="18"/>
      <c r="CC20" s="18"/>
      <c r="CD20" s="18">
        <v>174960</v>
      </c>
      <c r="CE20" s="18"/>
      <c r="CF20" s="18"/>
      <c r="CG20" s="18"/>
      <c r="CH20" s="18"/>
      <c r="CI20" s="18"/>
      <c r="CJ20" s="18"/>
      <c r="CK20" s="18"/>
      <c r="CL20" s="18"/>
      <c r="CM20" s="18"/>
      <c r="CN20" s="18">
        <v>88888</v>
      </c>
      <c r="CO20" s="18">
        <v>385866</v>
      </c>
      <c r="CP20" s="18"/>
      <c r="CQ20" s="18"/>
      <c r="CR20" s="18"/>
      <c r="CS20" s="18">
        <v>12679632</v>
      </c>
      <c r="CT20" s="18">
        <v>2848</v>
      </c>
      <c r="CU20" s="18">
        <v>7145</v>
      </c>
      <c r="CV20" s="18"/>
    </row>
    <row r="21" spans="1:100" s="12" customFormat="1" x14ac:dyDescent="0.25">
      <c r="A21" s="20" t="s">
        <v>221</v>
      </c>
      <c r="B21" s="21"/>
      <c r="C21" s="21"/>
      <c r="D21" s="21"/>
      <c r="E21" s="21"/>
      <c r="F21" s="21"/>
      <c r="G21" s="21"/>
      <c r="H21" s="21"/>
      <c r="I21" s="21"/>
      <c r="J21" s="21">
        <v>40741343</v>
      </c>
      <c r="K21" s="21"/>
      <c r="L21" s="21"/>
      <c r="M21" s="21"/>
      <c r="N21" s="21"/>
      <c r="O21" s="21"/>
      <c r="P21" s="21"/>
      <c r="Q21" s="21"/>
      <c r="R21" s="21"/>
      <c r="S21" s="21"/>
      <c r="T21" s="21">
        <v>6206715</v>
      </c>
      <c r="U21" s="21">
        <v>49298550</v>
      </c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>
        <v>29165555.010000002</v>
      </c>
      <c r="AG21" s="21">
        <v>47585905.560000002</v>
      </c>
      <c r="AH21" s="21"/>
      <c r="AI21" s="21">
        <v>4493241</v>
      </c>
      <c r="AJ21" s="21">
        <v>24040955</v>
      </c>
      <c r="AK21" s="21"/>
      <c r="AL21" s="21">
        <v>3254835</v>
      </c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>
        <v>1529985</v>
      </c>
      <c r="BE21" s="21">
        <v>7793415</v>
      </c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>
        <v>285059711</v>
      </c>
      <c r="CT21" s="21"/>
      <c r="CU21" s="21"/>
      <c r="CV21" s="21"/>
    </row>
    <row r="22" spans="1:100" x14ac:dyDescent="0.25">
      <c r="A22" s="20" t="s">
        <v>222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</row>
    <row r="23" spans="1:100" ht="30" x14ac:dyDescent="0.25">
      <c r="A23" s="22" t="s">
        <v>206</v>
      </c>
      <c r="B23" s="18"/>
      <c r="C23" s="18"/>
      <c r="D23" s="18">
        <v>240388</v>
      </c>
      <c r="E23" s="18"/>
      <c r="F23" s="18"/>
      <c r="G23" s="18"/>
      <c r="H23" s="18"/>
      <c r="I23" s="18"/>
      <c r="J23" s="18">
        <v>9205045</v>
      </c>
      <c r="K23" s="18"/>
      <c r="L23" s="18"/>
      <c r="M23" s="18">
        <v>179996</v>
      </c>
      <c r="N23" s="18"/>
      <c r="O23" s="18"/>
      <c r="P23" s="18"/>
      <c r="Q23" s="18">
        <v>25005</v>
      </c>
      <c r="R23" s="18">
        <v>125315</v>
      </c>
      <c r="S23" s="18"/>
      <c r="T23" s="18">
        <v>16773</v>
      </c>
      <c r="U23" s="18">
        <v>133226</v>
      </c>
      <c r="V23" s="18"/>
      <c r="W23" s="18"/>
      <c r="X23" s="18"/>
      <c r="Y23" s="18"/>
      <c r="Z23" s="18">
        <v>149585</v>
      </c>
      <c r="AA23" s="18"/>
      <c r="AB23" s="18"/>
      <c r="AC23" s="18">
        <v>99363</v>
      </c>
      <c r="AD23" s="18"/>
      <c r="AE23" s="18"/>
      <c r="AF23" s="18">
        <f>312290.89+192475.18</f>
        <v>504766.07</v>
      </c>
      <c r="AG23" s="18">
        <f>509527.25+314038.46</f>
        <v>823565.71</v>
      </c>
      <c r="AH23" s="18"/>
      <c r="AI23" s="18">
        <v>23604</v>
      </c>
      <c r="AJ23" s="18">
        <v>126293</v>
      </c>
      <c r="AK23" s="18"/>
      <c r="AL23" s="18"/>
      <c r="AM23" s="18"/>
      <c r="AN23" s="18"/>
      <c r="AO23" s="18">
        <v>107619</v>
      </c>
      <c r="AP23" s="18">
        <v>376026</v>
      </c>
      <c r="AQ23" s="18"/>
      <c r="AR23" s="18"/>
      <c r="AS23" s="18"/>
      <c r="AT23" s="18"/>
      <c r="AU23" s="18">
        <v>69124</v>
      </c>
      <c r="AV23" s="18">
        <v>257086</v>
      </c>
      <c r="AW23" s="18"/>
      <c r="AX23" s="18">
        <v>676</v>
      </c>
      <c r="AY23" s="18">
        <v>1199</v>
      </c>
      <c r="AZ23" s="18"/>
      <c r="BA23" s="18">
        <v>146150</v>
      </c>
      <c r="BB23" s="18">
        <v>351869</v>
      </c>
      <c r="BC23" s="18"/>
      <c r="BD23" s="18"/>
      <c r="BE23" s="18"/>
      <c r="BF23" s="18"/>
      <c r="BG23" s="18">
        <v>103100</v>
      </c>
      <c r="BH23" s="18"/>
      <c r="BI23" s="18"/>
      <c r="BJ23" s="18">
        <v>322544.57255779795</v>
      </c>
      <c r="BK23" s="18">
        <v>1265057.4274422021</v>
      </c>
      <c r="BL23" s="18"/>
      <c r="BM23" s="18"/>
      <c r="BN23" s="18"/>
      <c r="BO23" s="18">
        <v>3519365</v>
      </c>
      <c r="BP23" s="18"/>
      <c r="BQ23" s="18"/>
      <c r="BR23" s="18">
        <v>2131543</v>
      </c>
      <c r="BS23" s="18"/>
      <c r="BT23" s="18"/>
      <c r="BU23" s="18">
        <v>49742</v>
      </c>
      <c r="BV23" s="18">
        <v>115518</v>
      </c>
      <c r="BW23" s="18">
        <v>681672</v>
      </c>
      <c r="BX23" s="18"/>
      <c r="BY23" s="18"/>
      <c r="BZ23" s="18"/>
      <c r="CA23" s="18">
        <v>65502</v>
      </c>
      <c r="CB23" s="18"/>
      <c r="CC23" s="18"/>
      <c r="CD23" s="18">
        <v>81376</v>
      </c>
      <c r="CE23" s="18"/>
      <c r="CF23" s="18"/>
      <c r="CG23" s="18"/>
      <c r="CH23" s="18"/>
      <c r="CI23" s="18"/>
      <c r="CJ23" s="18">
        <v>3890601</v>
      </c>
      <c r="CK23" s="18"/>
      <c r="CL23" s="18"/>
      <c r="CM23" s="18"/>
      <c r="CN23" s="18"/>
      <c r="CO23" s="18"/>
      <c r="CP23" s="18"/>
      <c r="CQ23" s="18"/>
      <c r="CR23" s="18"/>
      <c r="CS23" s="18">
        <v>2481634</v>
      </c>
      <c r="CT23" s="18">
        <v>114149</v>
      </c>
      <c r="CU23" s="18">
        <v>286335</v>
      </c>
      <c r="CV23" s="18"/>
    </row>
    <row r="24" spans="1:100" x14ac:dyDescent="0.25">
      <c r="A24" s="22" t="s">
        <v>207</v>
      </c>
      <c r="B24" s="18"/>
      <c r="C24" s="18"/>
      <c r="D24" s="18">
        <v>50794</v>
      </c>
      <c r="E24" s="18"/>
      <c r="F24" s="18"/>
      <c r="G24" s="18"/>
      <c r="H24" s="18"/>
      <c r="I24" s="18"/>
      <c r="J24" s="18">
        <v>60458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>
        <v>3063914</v>
      </c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>
        <v>29878</v>
      </c>
      <c r="BW24" s="18">
        <v>176312</v>
      </c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>
        <v>1376439</v>
      </c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</row>
    <row r="25" spans="1:100" x14ac:dyDescent="0.25">
      <c r="A25" s="22" t="s">
        <v>208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</row>
    <row r="26" spans="1:100" x14ac:dyDescent="0.25">
      <c r="A26" s="22" t="s">
        <v>209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</row>
    <row r="27" spans="1:100" x14ac:dyDescent="0.25">
      <c r="A27" s="22" t="s">
        <v>210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>
        <v>7259</v>
      </c>
      <c r="AD27" s="18"/>
      <c r="AE27" s="18"/>
      <c r="AF27" s="18"/>
      <c r="AG27" s="18"/>
      <c r="AH27" s="18"/>
      <c r="AI27" s="18">
        <v>41576</v>
      </c>
      <c r="AJ27" s="18">
        <v>222449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>
        <v>2315</v>
      </c>
      <c r="BW27" s="18">
        <v>13658</v>
      </c>
      <c r="BX27" s="18"/>
      <c r="BY27" s="18"/>
      <c r="BZ27" s="18"/>
      <c r="CA27" s="18"/>
      <c r="CB27" s="18"/>
      <c r="CC27" s="18"/>
      <c r="CD27" s="18">
        <v>615516</v>
      </c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>
        <v>74626</v>
      </c>
      <c r="CU27" s="18">
        <v>187193</v>
      </c>
      <c r="CV27" s="18"/>
    </row>
    <row r="28" spans="1:100" x14ac:dyDescent="0.25">
      <c r="A28" s="22" t="s">
        <v>211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>
        <v>66883</v>
      </c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>
        <v>22252</v>
      </c>
      <c r="AP28" s="18">
        <v>77748</v>
      </c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>
        <v>2911</v>
      </c>
      <c r="BE28" s="18">
        <v>14828</v>
      </c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>
        <v>164478</v>
      </c>
      <c r="BS28" s="18"/>
      <c r="BT28" s="18"/>
      <c r="BU28" s="18"/>
      <c r="BV28" s="18">
        <v>231</v>
      </c>
      <c r="BW28" s="18">
        <v>1361</v>
      </c>
      <c r="BX28" s="18"/>
      <c r="BY28" s="18"/>
      <c r="BZ28" s="18"/>
      <c r="CA28" s="18"/>
      <c r="CB28" s="18"/>
      <c r="CC28" s="18"/>
      <c r="CD28" s="18">
        <v>84</v>
      </c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</row>
    <row r="29" spans="1:100" x14ac:dyDescent="0.25">
      <c r="A29" s="22" t="s">
        <v>212</v>
      </c>
      <c r="B29" s="18"/>
      <c r="C29" s="18"/>
      <c r="D29" s="18">
        <v>30051</v>
      </c>
      <c r="E29" s="18"/>
      <c r="F29" s="18">
        <v>17571</v>
      </c>
      <c r="G29" s="18"/>
      <c r="H29" s="18"/>
      <c r="I29" s="18"/>
      <c r="J29" s="18">
        <v>2248817</v>
      </c>
      <c r="K29" s="18"/>
      <c r="L29" s="18"/>
      <c r="M29" s="18">
        <v>1145138</v>
      </c>
      <c r="N29" s="18"/>
      <c r="O29" s="18"/>
      <c r="P29" s="18">
        <v>2679382</v>
      </c>
      <c r="Q29" s="18">
        <v>28796</v>
      </c>
      <c r="R29" s="18">
        <v>8348</v>
      </c>
      <c r="S29" s="18"/>
      <c r="T29" s="18">
        <v>246642</v>
      </c>
      <c r="U29" s="18">
        <v>1959022</v>
      </c>
      <c r="V29" s="18"/>
      <c r="W29" s="18">
        <v>36724</v>
      </c>
      <c r="X29" s="18">
        <v>22611</v>
      </c>
      <c r="Y29" s="18"/>
      <c r="Z29" s="18">
        <v>21232</v>
      </c>
      <c r="AA29" s="18">
        <v>51966</v>
      </c>
      <c r="AB29" s="18"/>
      <c r="AC29" s="18">
        <v>40618</v>
      </c>
      <c r="AD29" s="18"/>
      <c r="AE29" s="18"/>
      <c r="AF29" s="18"/>
      <c r="AG29" s="18"/>
      <c r="AH29" s="18"/>
      <c r="AI29" s="18">
        <v>100151</v>
      </c>
      <c r="AJ29" s="18">
        <v>535854</v>
      </c>
      <c r="AK29" s="18"/>
      <c r="AL29" s="18">
        <v>50077</v>
      </c>
      <c r="AM29" s="18"/>
      <c r="AN29" s="18"/>
      <c r="AO29" s="18">
        <v>409162</v>
      </c>
      <c r="AP29" s="18">
        <v>1429632</v>
      </c>
      <c r="AQ29" s="18"/>
      <c r="AR29" s="18"/>
      <c r="AS29" s="18"/>
      <c r="AT29" s="18"/>
      <c r="AU29" s="18">
        <v>210117</v>
      </c>
      <c r="AV29" s="18">
        <v>781470</v>
      </c>
      <c r="AW29" s="18"/>
      <c r="AX29" s="18">
        <v>10315</v>
      </c>
      <c r="AY29" s="18">
        <v>18293</v>
      </c>
      <c r="AZ29" s="18"/>
      <c r="BA29" s="18">
        <v>170353</v>
      </c>
      <c r="BB29" s="18">
        <v>410138</v>
      </c>
      <c r="BC29" s="18"/>
      <c r="BD29" s="18">
        <v>124531</v>
      </c>
      <c r="BE29" s="18">
        <v>634334</v>
      </c>
      <c r="BF29" s="18"/>
      <c r="BG29" s="18">
        <v>226622</v>
      </c>
      <c r="BH29" s="18">
        <v>23286</v>
      </c>
      <c r="BI29" s="18"/>
      <c r="BJ29" s="18">
        <v>738995</v>
      </c>
      <c r="BK29" s="18">
        <v>2898424.115533608</v>
      </c>
      <c r="BL29" s="18"/>
      <c r="BM29" s="18"/>
      <c r="BN29" s="18"/>
      <c r="BO29" s="18"/>
      <c r="BP29" s="18"/>
      <c r="BQ29" s="18"/>
      <c r="BR29" s="18">
        <v>2959973</v>
      </c>
      <c r="BS29" s="18"/>
      <c r="BT29" s="18"/>
      <c r="BU29" s="18">
        <v>126079</v>
      </c>
      <c r="BV29" s="18">
        <v>104054</v>
      </c>
      <c r="BW29" s="18">
        <v>614025</v>
      </c>
      <c r="BX29" s="18"/>
      <c r="BY29" s="18"/>
      <c r="BZ29" s="18"/>
      <c r="CA29" s="18">
        <v>271379</v>
      </c>
      <c r="CB29" s="18"/>
      <c r="CC29" s="18"/>
      <c r="CD29" s="18">
        <v>101794</v>
      </c>
      <c r="CE29" s="18"/>
      <c r="CF29" s="18">
        <v>2183133</v>
      </c>
      <c r="CG29" s="18"/>
      <c r="CH29" s="18"/>
      <c r="CI29" s="18"/>
      <c r="CJ29" s="18">
        <v>2257422</v>
      </c>
      <c r="CK29" s="18"/>
      <c r="CL29" s="18"/>
      <c r="CM29" s="18"/>
      <c r="CN29" s="18">
        <v>84385</v>
      </c>
      <c r="CO29" s="18">
        <v>366317</v>
      </c>
      <c r="CP29" s="18"/>
      <c r="CQ29" s="18"/>
      <c r="CR29" s="18"/>
      <c r="CS29" s="18">
        <v>4985240</v>
      </c>
      <c r="CT29" s="18">
        <v>114405</v>
      </c>
      <c r="CU29" s="18">
        <v>286977</v>
      </c>
      <c r="CV29" s="18"/>
    </row>
    <row r="30" spans="1:100" x14ac:dyDescent="0.25">
      <c r="A30" s="22" t="s">
        <v>223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</row>
    <row r="31" spans="1:100" x14ac:dyDescent="0.25">
      <c r="A31" s="22" t="s">
        <v>224</v>
      </c>
      <c r="B31" s="18"/>
      <c r="C31" s="18"/>
      <c r="D31" s="18">
        <v>127640</v>
      </c>
      <c r="E31" s="18"/>
      <c r="F31" s="18"/>
      <c r="G31" s="18"/>
      <c r="H31" s="18"/>
      <c r="I31" s="18"/>
      <c r="J31" s="18">
        <v>2645956</v>
      </c>
      <c r="K31" s="18"/>
      <c r="L31" s="18"/>
      <c r="M31" s="18">
        <v>600000</v>
      </c>
      <c r="N31" s="18"/>
      <c r="O31" s="18"/>
      <c r="P31" s="18">
        <v>7096886</v>
      </c>
      <c r="Q31" s="18">
        <v>510359</v>
      </c>
      <c r="R31" s="18">
        <v>2557706</v>
      </c>
      <c r="S31" s="18"/>
      <c r="T31" s="18">
        <v>489797</v>
      </c>
      <c r="U31" s="18">
        <v>3890346</v>
      </c>
      <c r="V31" s="18"/>
      <c r="W31" s="18">
        <v>99861</v>
      </c>
      <c r="X31" s="18">
        <v>296916</v>
      </c>
      <c r="Y31" s="18"/>
      <c r="Z31" s="18">
        <v>387770</v>
      </c>
      <c r="AA31" s="18">
        <v>149827</v>
      </c>
      <c r="AB31" s="18"/>
      <c r="AC31" s="18"/>
      <c r="AD31" s="18"/>
      <c r="AE31" s="18"/>
      <c r="AF31" s="18">
        <f>835834.99+243304.82</f>
        <v>1079139.81</v>
      </c>
      <c r="AG31" s="18">
        <f>1363730.76+396971.03</f>
        <v>1760701.79</v>
      </c>
      <c r="AH31" s="18"/>
      <c r="AI31" s="18">
        <v>19813</v>
      </c>
      <c r="AJ31" s="18">
        <v>106010</v>
      </c>
      <c r="AK31" s="18"/>
      <c r="AL31" s="18"/>
      <c r="AM31" s="18"/>
      <c r="AN31" s="18"/>
      <c r="AO31" s="18">
        <v>433870</v>
      </c>
      <c r="AP31" s="18">
        <v>1515961</v>
      </c>
      <c r="AQ31" s="18"/>
      <c r="AR31" s="18"/>
      <c r="AS31" s="18"/>
      <c r="AT31" s="18">
        <v>2149664</v>
      </c>
      <c r="AU31" s="18">
        <v>180658</v>
      </c>
      <c r="AV31" s="18">
        <v>671904</v>
      </c>
      <c r="AW31" s="18"/>
      <c r="AX31" s="18">
        <v>18032</v>
      </c>
      <c r="AY31" s="18">
        <v>31980</v>
      </c>
      <c r="AZ31" s="18"/>
      <c r="BA31" s="18">
        <v>236219</v>
      </c>
      <c r="BB31" s="18">
        <v>568717</v>
      </c>
      <c r="BC31" s="18"/>
      <c r="BD31" s="18">
        <v>114819</v>
      </c>
      <c r="BE31" s="18">
        <v>584860</v>
      </c>
      <c r="BF31" s="18"/>
      <c r="BG31" s="18">
        <v>251140</v>
      </c>
      <c r="BH31" s="18">
        <v>489583</v>
      </c>
      <c r="BI31" s="18"/>
      <c r="BJ31" s="18">
        <v>868608</v>
      </c>
      <c r="BK31" s="18">
        <v>3406780.3798415861</v>
      </c>
      <c r="BL31" s="18"/>
      <c r="BM31" s="18"/>
      <c r="BN31" s="18"/>
      <c r="BO31" s="18">
        <v>4146220</v>
      </c>
      <c r="BP31" s="18"/>
      <c r="BQ31" s="18"/>
      <c r="BR31" s="18">
        <v>2893859</v>
      </c>
      <c r="BS31" s="18"/>
      <c r="BT31" s="18"/>
      <c r="BU31" s="18">
        <v>149990</v>
      </c>
      <c r="BV31" s="18">
        <v>1795623</v>
      </c>
      <c r="BW31" s="18">
        <v>10596002</v>
      </c>
      <c r="BX31" s="18"/>
      <c r="BY31" s="18"/>
      <c r="BZ31" s="18"/>
      <c r="CA31" s="18">
        <v>421864</v>
      </c>
      <c r="CB31" s="18"/>
      <c r="CC31" s="18"/>
      <c r="CD31" s="18">
        <v>593812</v>
      </c>
      <c r="CE31" s="18">
        <v>350000</v>
      </c>
      <c r="CF31" s="18">
        <v>1221246</v>
      </c>
      <c r="CG31" s="18"/>
      <c r="CH31" s="18"/>
      <c r="CI31" s="18"/>
      <c r="CJ31" s="18">
        <v>580735</v>
      </c>
      <c r="CK31" s="18"/>
      <c r="CL31" s="18"/>
      <c r="CM31" s="18"/>
      <c r="CN31" s="18">
        <v>224937</v>
      </c>
      <c r="CO31" s="18">
        <v>976464</v>
      </c>
      <c r="CP31" s="18"/>
      <c r="CQ31" s="18"/>
      <c r="CR31" s="18"/>
      <c r="CS31" s="18">
        <v>1126385</v>
      </c>
      <c r="CT31" s="18">
        <v>655237</v>
      </c>
      <c r="CU31" s="18">
        <v>1643620</v>
      </c>
      <c r="CV31" s="18"/>
    </row>
    <row r="32" spans="1:100" x14ac:dyDescent="0.25">
      <c r="A32" s="22" t="s">
        <v>215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>
        <v>158911</v>
      </c>
      <c r="AV32" s="18">
        <v>591024</v>
      </c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</row>
    <row r="33" spans="1:100" x14ac:dyDescent="0.25">
      <c r="A33" s="22" t="s">
        <v>225</v>
      </c>
      <c r="B33" s="18"/>
      <c r="C33" s="18"/>
      <c r="D33" s="18">
        <v>25000</v>
      </c>
      <c r="E33" s="18"/>
      <c r="F33" s="18"/>
      <c r="G33" s="18"/>
      <c r="H33" s="18"/>
      <c r="I33" s="18"/>
      <c r="J33" s="18">
        <v>20011400</v>
      </c>
      <c r="K33" s="18"/>
      <c r="L33" s="18"/>
      <c r="M33" s="18">
        <v>491265</v>
      </c>
      <c r="N33" s="18"/>
      <c r="O33" s="18"/>
      <c r="P33" s="18">
        <v>270000</v>
      </c>
      <c r="Q33" s="18">
        <v>51990</v>
      </c>
      <c r="R33" s="18">
        <v>260552</v>
      </c>
      <c r="S33" s="18"/>
      <c r="T33" s="18"/>
      <c r="U33" s="18"/>
      <c r="V33" s="18"/>
      <c r="W33" s="18"/>
      <c r="X33" s="18"/>
      <c r="Y33" s="18"/>
      <c r="Z33" s="18">
        <v>58400</v>
      </c>
      <c r="AA33" s="18">
        <v>181812</v>
      </c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>
        <v>207819</v>
      </c>
      <c r="AP33" s="18">
        <v>726128</v>
      </c>
      <c r="AQ33" s="18"/>
      <c r="AR33" s="18"/>
      <c r="AS33" s="18"/>
      <c r="AT33" s="18">
        <v>3940307</v>
      </c>
      <c r="AU33" s="18">
        <v>52819</v>
      </c>
      <c r="AV33" s="18">
        <v>196447</v>
      </c>
      <c r="AW33" s="18"/>
      <c r="AX33" s="18"/>
      <c r="AY33" s="18"/>
      <c r="AZ33" s="18"/>
      <c r="BA33" s="18">
        <v>161274</v>
      </c>
      <c r="BB33" s="18">
        <v>388282</v>
      </c>
      <c r="BC33" s="18"/>
      <c r="BD33" s="18">
        <v>93784</v>
      </c>
      <c r="BE33" s="18">
        <v>477716</v>
      </c>
      <c r="BF33" s="18"/>
      <c r="BG33" s="18">
        <v>359500</v>
      </c>
      <c r="BH33" s="18">
        <v>238200</v>
      </c>
      <c r="BI33" s="18"/>
      <c r="BJ33" s="18">
        <v>1427210</v>
      </c>
      <c r="BK33" s="18">
        <v>5597685.6049620844</v>
      </c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>
        <v>98528</v>
      </c>
      <c r="BW33" s="18">
        <v>581413</v>
      </c>
      <c r="BX33" s="18"/>
      <c r="BY33" s="18"/>
      <c r="BZ33" s="18"/>
      <c r="CA33" s="18"/>
      <c r="CB33" s="18"/>
      <c r="CC33" s="18"/>
      <c r="CD33" s="18">
        <v>213971</v>
      </c>
      <c r="CE33" s="18">
        <v>149288</v>
      </c>
      <c r="CF33" s="18">
        <f>1185100+674592</f>
        <v>1859692</v>
      </c>
      <c r="CG33" s="18"/>
      <c r="CH33" s="18"/>
      <c r="CI33" s="18"/>
      <c r="CJ33" s="18"/>
      <c r="CK33" s="18"/>
      <c r="CL33" s="18"/>
      <c r="CM33" s="18"/>
      <c r="CN33" s="18">
        <v>102864</v>
      </c>
      <c r="CO33" s="18">
        <v>446536</v>
      </c>
      <c r="CP33" s="18"/>
      <c r="CQ33" s="18"/>
      <c r="CR33" s="18"/>
      <c r="CS33" s="18"/>
      <c r="CT33" s="18">
        <v>51305</v>
      </c>
      <c r="CU33" s="18">
        <v>128695</v>
      </c>
      <c r="CV33" s="18"/>
    </row>
    <row r="34" spans="1:100" x14ac:dyDescent="0.25">
      <c r="A34" s="22" t="s">
        <v>226</v>
      </c>
      <c r="B34" s="18"/>
      <c r="C34" s="18"/>
      <c r="D34" s="18"/>
      <c r="E34" s="18"/>
      <c r="F34" s="18">
        <v>59400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>
        <v>119169</v>
      </c>
      <c r="U34" s="18">
        <v>946531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>
        <v>35302</v>
      </c>
      <c r="BV34" s="18"/>
      <c r="BW34" s="18"/>
      <c r="BX34" s="18"/>
      <c r="BY34" s="18"/>
      <c r="BZ34" s="18"/>
      <c r="CA34" s="18">
        <v>386200</v>
      </c>
      <c r="CB34" s="18"/>
      <c r="CC34" s="18"/>
      <c r="CD34" s="18">
        <v>3138</v>
      </c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</row>
    <row r="35" spans="1:100" x14ac:dyDescent="0.25">
      <c r="A35" s="22" t="s">
        <v>227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>
        <v>9904</v>
      </c>
      <c r="AJ35" s="18">
        <v>52992</v>
      </c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</row>
    <row r="36" spans="1:100" x14ac:dyDescent="0.25">
      <c r="A36" s="22" t="s">
        <v>219</v>
      </c>
      <c r="B36" s="18"/>
      <c r="C36" s="18"/>
      <c r="D36" s="18">
        <v>199740</v>
      </c>
      <c r="E36" s="18"/>
      <c r="F36" s="18"/>
      <c r="G36" s="18"/>
      <c r="H36" s="18"/>
      <c r="I36" s="18"/>
      <c r="J36" s="18">
        <v>1067717</v>
      </c>
      <c r="K36" s="18"/>
      <c r="L36" s="18"/>
      <c r="M36" s="18">
        <v>229926</v>
      </c>
      <c r="N36" s="18"/>
      <c r="O36" s="18"/>
      <c r="P36" s="18">
        <v>8231895</v>
      </c>
      <c r="Q36" s="18">
        <v>216122</v>
      </c>
      <c r="R36" s="18">
        <v>1083113</v>
      </c>
      <c r="S36" s="18"/>
      <c r="T36" s="18">
        <v>35783</v>
      </c>
      <c r="U36" s="18">
        <v>284217</v>
      </c>
      <c r="V36" s="18"/>
      <c r="W36" s="18"/>
      <c r="X36" s="18">
        <v>50010</v>
      </c>
      <c r="Y36" s="18"/>
      <c r="Z36" s="18">
        <v>193261</v>
      </c>
      <c r="AA36" s="18">
        <v>50242</v>
      </c>
      <c r="AB36" s="18"/>
      <c r="AC36" s="18">
        <v>185946</v>
      </c>
      <c r="AD36" s="18"/>
      <c r="AE36" s="18"/>
      <c r="AF36" s="18">
        <v>721914.94</v>
      </c>
      <c r="AG36" s="18">
        <v>1177861.21</v>
      </c>
      <c r="AH36" s="18"/>
      <c r="AI36" s="18">
        <v>23215</v>
      </c>
      <c r="AJ36" s="18">
        <v>124209</v>
      </c>
      <c r="AK36" s="18"/>
      <c r="AL36" s="18"/>
      <c r="AM36" s="18"/>
      <c r="AN36" s="18"/>
      <c r="AO36" s="18">
        <v>1583791</v>
      </c>
      <c r="AP36" s="18">
        <v>5533834</v>
      </c>
      <c r="AQ36" s="18"/>
      <c r="AR36" s="18"/>
      <c r="AS36" s="18"/>
      <c r="AT36" s="18">
        <v>4882744</v>
      </c>
      <c r="AU36" s="18">
        <v>93010</v>
      </c>
      <c r="AV36" s="18">
        <v>345922</v>
      </c>
      <c r="AW36" s="18"/>
      <c r="AX36" s="18">
        <v>18348</v>
      </c>
      <c r="AY36" s="18">
        <v>32539</v>
      </c>
      <c r="AZ36" s="18"/>
      <c r="BA36" s="18">
        <v>102685</v>
      </c>
      <c r="BB36" s="18">
        <v>247225</v>
      </c>
      <c r="BC36" s="18"/>
      <c r="BD36" s="18"/>
      <c r="BE36" s="18"/>
      <c r="BF36" s="18"/>
      <c r="BG36" s="18">
        <v>338081</v>
      </c>
      <c r="BH36" s="18">
        <v>291160</v>
      </c>
      <c r="BI36" s="18"/>
      <c r="BJ36" s="18">
        <v>582938</v>
      </c>
      <c r="BK36" s="18">
        <v>2286350.962601589</v>
      </c>
      <c r="BL36" s="18"/>
      <c r="BM36" s="18"/>
      <c r="BN36" s="18"/>
      <c r="BO36" s="18">
        <v>8021920</v>
      </c>
      <c r="BP36" s="18"/>
      <c r="BQ36" s="18"/>
      <c r="BR36" s="18">
        <v>5484362</v>
      </c>
      <c r="BS36" s="18"/>
      <c r="BT36" s="18"/>
      <c r="BU36" s="18"/>
      <c r="BV36" s="18">
        <v>72545</v>
      </c>
      <c r="BW36" s="18">
        <v>428092</v>
      </c>
      <c r="BX36" s="18"/>
      <c r="BY36" s="18"/>
      <c r="BZ36" s="18"/>
      <c r="CA36" s="18">
        <f>100183+190288</f>
        <v>290471</v>
      </c>
      <c r="CB36" s="18"/>
      <c r="CC36" s="18"/>
      <c r="CD36" s="18">
        <v>193455</v>
      </c>
      <c r="CE36" s="18">
        <v>199942</v>
      </c>
      <c r="CF36" s="18">
        <v>3756750</v>
      </c>
      <c r="CG36" s="18"/>
      <c r="CH36" s="18"/>
      <c r="CI36" s="18"/>
      <c r="CJ36" s="18">
        <v>3962142</v>
      </c>
      <c r="CK36" s="18"/>
      <c r="CL36" s="18"/>
      <c r="CM36" s="18"/>
      <c r="CN36" s="18">
        <v>149798</v>
      </c>
      <c r="CO36" s="18">
        <v>650280</v>
      </c>
      <c r="CP36" s="18"/>
      <c r="CQ36" s="18"/>
      <c r="CR36" s="18"/>
      <c r="CS36" s="18">
        <v>3597565</v>
      </c>
      <c r="CT36" s="18">
        <v>199656</v>
      </c>
      <c r="CU36" s="18">
        <v>500825</v>
      </c>
      <c r="CV36" s="18"/>
    </row>
    <row r="37" spans="1:100" x14ac:dyDescent="0.25">
      <c r="A37" s="22" t="s">
        <v>220</v>
      </c>
      <c r="B37" s="18"/>
      <c r="C37" s="18"/>
      <c r="D37" s="18"/>
      <c r="E37" s="18"/>
      <c r="F37" s="18"/>
      <c r="G37" s="18"/>
      <c r="H37" s="18"/>
      <c r="I37" s="18"/>
      <c r="J37" s="18">
        <v>100000</v>
      </c>
      <c r="K37" s="18"/>
      <c r="L37" s="18"/>
      <c r="M37" s="18"/>
      <c r="N37" s="18"/>
      <c r="O37" s="18"/>
      <c r="P37" s="18"/>
      <c r="Q37" s="18">
        <v>16635</v>
      </c>
      <c r="R37" s="18">
        <v>83365</v>
      </c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>
        <v>95000.1</v>
      </c>
      <c r="AG37" s="18">
        <v>155000.16</v>
      </c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>
        <v>2987</v>
      </c>
      <c r="BP37" s="18"/>
      <c r="BQ37" s="18"/>
      <c r="BR37" s="18"/>
      <c r="BS37" s="18"/>
      <c r="BT37" s="18"/>
      <c r="BU37" s="18"/>
      <c r="BV37" s="18">
        <v>188290</v>
      </c>
      <c r="BW37" s="18">
        <v>1111104</v>
      </c>
      <c r="BX37" s="18"/>
      <c r="BY37" s="18"/>
      <c r="BZ37" s="18"/>
      <c r="CA37" s="18"/>
      <c r="CB37" s="18"/>
      <c r="CC37" s="18"/>
      <c r="CD37" s="18">
        <v>27961</v>
      </c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>
        <v>900467</v>
      </c>
      <c r="CT37" s="18"/>
      <c r="CU37" s="18"/>
      <c r="CV37" s="18"/>
    </row>
    <row r="38" spans="1:100" s="12" customFormat="1" x14ac:dyDescent="0.25">
      <c r="A38" s="20" t="s">
        <v>228</v>
      </c>
      <c r="B38" s="21"/>
      <c r="C38" s="21"/>
      <c r="D38" s="21"/>
      <c r="E38" s="21"/>
      <c r="F38" s="21"/>
      <c r="G38" s="21"/>
      <c r="H38" s="21"/>
      <c r="I38" s="21"/>
      <c r="J38" s="21">
        <v>35339394</v>
      </c>
      <c r="K38" s="21"/>
      <c r="L38" s="21"/>
      <c r="M38" s="21"/>
      <c r="N38" s="21"/>
      <c r="O38" s="21"/>
      <c r="P38" s="21"/>
      <c r="Q38" s="21"/>
      <c r="R38" s="21"/>
      <c r="S38" s="21"/>
      <c r="T38" s="21">
        <v>908164</v>
      </c>
      <c r="U38" s="21">
        <v>7213342</v>
      </c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>
        <v>2400820.92</v>
      </c>
      <c r="AG38" s="21">
        <v>3917128.87</v>
      </c>
      <c r="AH38" s="21"/>
      <c r="AI38" s="21">
        <v>218262</v>
      </c>
      <c r="AJ38" s="21">
        <v>124209</v>
      </c>
      <c r="AK38" s="21"/>
      <c r="AL38" s="21">
        <v>50077</v>
      </c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>
        <v>336045</v>
      </c>
      <c r="BE38" s="21">
        <v>1711738</v>
      </c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>
        <v>13091291</v>
      </c>
      <c r="CT38" s="21"/>
      <c r="CU38" s="21"/>
      <c r="CV38" s="21"/>
    </row>
    <row r="39" spans="1:100" s="12" customFormat="1" x14ac:dyDescent="0.25">
      <c r="A39" s="20" t="s">
        <v>60</v>
      </c>
      <c r="B39" s="21"/>
      <c r="C39" s="21"/>
      <c r="D39" s="21">
        <v>1181097</v>
      </c>
      <c r="E39" s="21">
        <v>749189</v>
      </c>
      <c r="F39" s="21">
        <v>1351558</v>
      </c>
      <c r="G39" s="21"/>
      <c r="H39" s="21"/>
      <c r="I39" s="21"/>
      <c r="J39" s="21">
        <v>76080737</v>
      </c>
      <c r="K39" s="21"/>
      <c r="L39" s="21"/>
      <c r="M39" s="21">
        <v>11686441</v>
      </c>
      <c r="N39" s="21"/>
      <c r="O39" s="21"/>
      <c r="P39" s="21">
        <v>139906917</v>
      </c>
      <c r="Q39" s="21">
        <v>5364723</v>
      </c>
      <c r="R39" s="21">
        <v>26749763</v>
      </c>
      <c r="S39" s="21"/>
      <c r="T39" s="21">
        <v>7114879</v>
      </c>
      <c r="U39" s="21">
        <v>56511892</v>
      </c>
      <c r="V39" s="21"/>
      <c r="W39" s="21">
        <v>989667</v>
      </c>
      <c r="X39" s="21">
        <v>2365821</v>
      </c>
      <c r="Y39" s="21"/>
      <c r="Z39" s="21">
        <v>1314035</v>
      </c>
      <c r="AA39" s="21">
        <v>936532</v>
      </c>
      <c r="AB39" s="21"/>
      <c r="AC39" s="21">
        <v>1269595</v>
      </c>
      <c r="AD39" s="21">
        <v>96702</v>
      </c>
      <c r="AE39" s="21"/>
      <c r="AF39" s="21">
        <v>31566375.93</v>
      </c>
      <c r="AG39" s="21">
        <v>51503034.43</v>
      </c>
      <c r="AH39" s="21"/>
      <c r="AI39" s="21">
        <v>4711503</v>
      </c>
      <c r="AJ39" s="21">
        <v>25208762</v>
      </c>
      <c r="AK39" s="21"/>
      <c r="AL39" s="21">
        <v>3304912</v>
      </c>
      <c r="AM39" s="21"/>
      <c r="AN39" s="21"/>
      <c r="AO39" s="21">
        <v>18154614</v>
      </c>
      <c r="AP39" s="21">
        <v>63433015</v>
      </c>
      <c r="AQ39" s="21"/>
      <c r="AR39" s="21"/>
      <c r="AS39" s="21"/>
      <c r="AT39" s="21">
        <v>181926680</v>
      </c>
      <c r="AU39" s="21">
        <v>15147626</v>
      </c>
      <c r="AV39" s="21">
        <v>56337187</v>
      </c>
      <c r="AW39" s="21"/>
      <c r="AX39" s="21">
        <v>755421</v>
      </c>
      <c r="AY39" s="21">
        <v>1733226</v>
      </c>
      <c r="AZ39" s="21"/>
      <c r="BA39" s="21">
        <v>3325841</v>
      </c>
      <c r="BB39" s="21">
        <v>8007247</v>
      </c>
      <c r="BC39" s="21"/>
      <c r="BD39" s="21">
        <v>1866030</v>
      </c>
      <c r="BE39" s="21">
        <v>9505153</v>
      </c>
      <c r="BF39" s="21"/>
      <c r="BG39" s="21">
        <v>3000576</v>
      </c>
      <c r="BH39" s="21">
        <v>3657308</v>
      </c>
      <c r="BI39" s="21"/>
      <c r="BJ39" s="21">
        <v>51495586</v>
      </c>
      <c r="BK39" s="21">
        <v>201952776.3675493</v>
      </c>
      <c r="BL39" s="21"/>
      <c r="BM39" s="21"/>
      <c r="BN39" s="21"/>
      <c r="BO39" s="21">
        <v>555382128</v>
      </c>
      <c r="BP39" s="21"/>
      <c r="BQ39" s="21"/>
      <c r="BR39" s="21">
        <f>SUM(BR5:BR38)</f>
        <v>228036679</v>
      </c>
      <c r="BS39" s="21"/>
      <c r="BT39" s="21"/>
      <c r="BU39" s="21">
        <v>3463459</v>
      </c>
      <c r="BV39" s="21">
        <v>11590846</v>
      </c>
      <c r="BW39" s="21">
        <v>68397795</v>
      </c>
      <c r="BX39" s="21"/>
      <c r="BY39" s="21"/>
      <c r="BZ39" s="21"/>
      <c r="CA39" s="21">
        <v>9279195</v>
      </c>
      <c r="CB39" s="21"/>
      <c r="CC39" s="21"/>
      <c r="CD39" s="21">
        <v>8726886</v>
      </c>
      <c r="CE39" s="21">
        <v>11855445</v>
      </c>
      <c r="CF39" s="21">
        <v>41066473</v>
      </c>
      <c r="CG39" s="21"/>
      <c r="CH39" s="21"/>
      <c r="CI39" s="21"/>
      <c r="CJ39" s="21">
        <v>78764840</v>
      </c>
      <c r="CK39" s="21"/>
      <c r="CL39" s="21"/>
      <c r="CM39" s="21"/>
      <c r="CN39" s="21">
        <v>12396782</v>
      </c>
      <c r="CO39" s="21">
        <v>53814995</v>
      </c>
      <c r="CP39" s="21"/>
      <c r="CQ39" s="21"/>
      <c r="CR39" s="21"/>
      <c r="CS39" s="21">
        <v>298151002</v>
      </c>
      <c r="CT39" s="21">
        <v>6128614</v>
      </c>
      <c r="CU39" s="21">
        <v>15373236</v>
      </c>
      <c r="CV39" s="21"/>
    </row>
  </sheetData>
  <mergeCells count="34">
    <mergeCell ref="Q3:S3"/>
    <mergeCell ref="B3:D3"/>
    <mergeCell ref="E3:G3"/>
    <mergeCell ref="H3:J3"/>
    <mergeCell ref="K3:M3"/>
    <mergeCell ref="N3:P3"/>
    <mergeCell ref="BA3:BC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CN3:CP3"/>
    <mergeCell ref="CQ3:CS3"/>
    <mergeCell ref="CT3:CV3"/>
    <mergeCell ref="A3:A4"/>
    <mergeCell ref="BV3:BX3"/>
    <mergeCell ref="BY3:CA3"/>
    <mergeCell ref="CB3:CD3"/>
    <mergeCell ref="CE3:CG3"/>
    <mergeCell ref="CH3:CJ3"/>
    <mergeCell ref="CK3:CM3"/>
    <mergeCell ref="BD3:BF3"/>
    <mergeCell ref="BG3:BI3"/>
    <mergeCell ref="BJ3:BL3"/>
    <mergeCell ref="BM3:BO3"/>
    <mergeCell ref="BP3:BR3"/>
    <mergeCell ref="BS3:B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2019-07-18T06:44:47Z</dcterms:modified>
</cp:coreProperties>
</file>